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45" yWindow="-90" windowWidth="19710" windowHeight="7575"/>
  </bookViews>
  <sheets>
    <sheet name="Apresentação" sheetId="2" r:id="rId1"/>
    <sheet name="Os juros sobre juros" sheetId="1" r:id="rId2"/>
    <sheet name="O duodécuplo" sheetId="4" r:id="rId3"/>
  </sheets>
  <definedNames>
    <definedName name="Cel_2.1">'Os juros sobre juros'!$A$11</definedName>
    <definedName name="Cel_2.2">'Os juros sobre juros'!$A$19</definedName>
    <definedName name="Cel_2.3">'Os juros sobre juros'!$A$30</definedName>
    <definedName name="Cel_2.4">'Os juros sobre juros'!$A$61</definedName>
    <definedName name="Cel_2.5">'Os juros sobre juros'!$A$66</definedName>
    <definedName name="Cel_2.6">'Os juros sobre juros'!$A$79</definedName>
    <definedName name="Cel_2.7">'Os juros sobre juros'!$A$124</definedName>
    <definedName name="Cel_3.1">'O duodécuplo'!$A$7</definedName>
    <definedName name="Cel_3.2">'O duodécuplo'!$A$55</definedName>
    <definedName name="Cel_3.3">'O duodécuplo'!$A$164</definedName>
    <definedName name="Erro_Tab_06">'Os juros sobre juros'!$C$114</definedName>
    <definedName name="Tabela_06">'Os juros sobre juros'!$B$97:$J$112</definedName>
    <definedName name="Tabela_09_prestação">'O duodécuplo'!$B$77:$D$92</definedName>
  </definedNames>
  <calcPr calcId="145621"/>
</workbook>
</file>

<file path=xl/calcChain.xml><?xml version="1.0" encoding="utf-8"?>
<calcChain xmlns="http://schemas.openxmlformats.org/spreadsheetml/2006/main">
  <c r="E40" i="1" l="1"/>
  <c r="E215" i="4" l="1"/>
  <c r="E213" i="4"/>
  <c r="E211" i="4"/>
  <c r="F11" i="4" l="1"/>
  <c r="D48" i="1"/>
  <c r="C107" i="4" l="1"/>
  <c r="C70" i="4" l="1"/>
  <c r="H134" i="4" l="1"/>
  <c r="G134" i="4"/>
  <c r="L134" i="4"/>
  <c r="B131" i="4"/>
  <c r="J116" i="4"/>
  <c r="J117" i="4" s="1"/>
  <c r="J118" i="4" s="1"/>
  <c r="J119" i="4" s="1"/>
  <c r="J120" i="4" s="1"/>
  <c r="J121" i="4" s="1"/>
  <c r="J122" i="4" s="1"/>
  <c r="J123" i="4" s="1"/>
  <c r="J124" i="4" s="1"/>
  <c r="J125" i="4" s="1"/>
  <c r="J126" i="4" s="1"/>
  <c r="J127" i="4" s="1"/>
  <c r="F116" i="4"/>
  <c r="F117" i="4" s="1"/>
  <c r="F118" i="4" s="1"/>
  <c r="F119" i="4" s="1"/>
  <c r="F120" i="4" s="1"/>
  <c r="F121" i="4" s="1"/>
  <c r="F122" i="4" s="1"/>
  <c r="F123" i="4" s="1"/>
  <c r="F124" i="4" s="1"/>
  <c r="F125" i="4" s="1"/>
  <c r="F126" i="4" s="1"/>
  <c r="F127" i="4" s="1"/>
  <c r="B116" i="4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J114" i="4"/>
  <c r="F114" i="4"/>
  <c r="B114" i="4"/>
  <c r="G138" i="4" l="1"/>
  <c r="C138" i="4"/>
  <c r="G137" i="4"/>
  <c r="C137" i="4"/>
  <c r="D134" i="4"/>
  <c r="K134" i="4"/>
  <c r="C134" i="4"/>
  <c r="B101" i="4" l="1"/>
  <c r="B75" i="4" l="1"/>
  <c r="D129" i="1" l="1"/>
  <c r="E39" i="1" l="1"/>
  <c r="D49" i="1"/>
  <c r="D53" i="1"/>
  <c r="C129" i="1" l="1"/>
  <c r="E129" i="1" s="1"/>
  <c r="B129" i="1"/>
  <c r="D41" i="1"/>
  <c r="B78" i="4" l="1"/>
  <c r="C196" i="4" s="1"/>
  <c r="B79" i="4" l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F13" i="4" l="1"/>
  <c r="F12" i="4"/>
  <c r="D137" i="1" l="1"/>
  <c r="D74" i="1"/>
  <c r="D122" i="1" l="1"/>
  <c r="B98" i="1" l="1"/>
  <c r="D50" i="1"/>
  <c r="B99" i="1" l="1"/>
  <c r="B100" i="1" l="1"/>
  <c r="B101" i="1" l="1"/>
  <c r="D54" i="1"/>
  <c r="C55" i="1" s="1"/>
  <c r="B102" i="1" l="1"/>
  <c r="B103" i="1" s="1"/>
  <c r="B104" i="1" s="1"/>
  <c r="B105" i="1" s="1"/>
  <c r="B106" i="1" s="1"/>
  <c r="B107" i="1" s="1"/>
  <c r="B108" i="1" s="1"/>
  <c r="B74" i="1"/>
  <c r="C74" i="1"/>
  <c r="C137" i="1"/>
  <c r="B137" i="1"/>
  <c r="C109" i="1"/>
  <c r="C111" i="1"/>
  <c r="C110" i="1"/>
  <c r="C108" i="1"/>
  <c r="C97" i="1"/>
  <c r="D97" i="1" s="1"/>
  <c r="G97" i="1" s="1"/>
  <c r="C104" i="1"/>
  <c r="D104" i="1" s="1"/>
  <c r="G104" i="1" s="1"/>
  <c r="C106" i="1"/>
  <c r="D106" i="1" s="1"/>
  <c r="G106" i="1" s="1"/>
  <c r="C105" i="1"/>
  <c r="D105" i="1" s="1"/>
  <c r="G105" i="1" s="1"/>
  <c r="C103" i="1"/>
  <c r="D103" i="1" s="1"/>
  <c r="G103" i="1" s="1"/>
  <c r="C102" i="1"/>
  <c r="D102" i="1" s="1"/>
  <c r="G102" i="1" s="1"/>
  <c r="C101" i="1"/>
  <c r="D101" i="1" s="1"/>
  <c r="G101" i="1" s="1"/>
  <c r="C100" i="1"/>
  <c r="D100" i="1" s="1"/>
  <c r="G100" i="1" s="1"/>
  <c r="C107" i="1"/>
  <c r="D107" i="1" s="1"/>
  <c r="G107" i="1" s="1"/>
  <c r="C99" i="1"/>
  <c r="D99" i="1" s="1"/>
  <c r="G99" i="1" s="1"/>
  <c r="C98" i="1"/>
  <c r="D98" i="1" s="1"/>
  <c r="G98" i="1" s="1"/>
  <c r="C112" i="1"/>
  <c r="D108" i="1" l="1"/>
  <c r="C22" i="4"/>
  <c r="B109" i="1"/>
  <c r="B110" i="1" s="1"/>
  <c r="B111" i="1" s="1"/>
  <c r="D111" i="1" s="1"/>
  <c r="G111" i="1" s="1"/>
  <c r="B22" i="4"/>
  <c r="C122" i="1"/>
  <c r="E74" i="1"/>
  <c r="H102" i="1"/>
  <c r="H105" i="1"/>
  <c r="H103" i="1"/>
  <c r="H106" i="1"/>
  <c r="H104" i="1"/>
  <c r="H107" i="1"/>
  <c r="H100" i="1"/>
  <c r="H101" i="1"/>
  <c r="D110" i="1" l="1"/>
  <c r="G110" i="1" s="1"/>
  <c r="H110" i="1" s="1"/>
  <c r="G108" i="1"/>
  <c r="J22" i="4" s="1"/>
  <c r="E22" i="4"/>
  <c r="D22" i="4"/>
  <c r="K41" i="4" s="1"/>
  <c r="D109" i="1"/>
  <c r="G109" i="1" s="1"/>
  <c r="H109" i="1" s="1"/>
  <c r="H111" i="1"/>
  <c r="K38" i="4"/>
  <c r="E122" i="1"/>
  <c r="E97" i="1"/>
  <c r="E110" i="1"/>
  <c r="F110" i="1" s="1"/>
  <c r="E108" i="1"/>
  <c r="G22" i="4" s="1"/>
  <c r="E100" i="1"/>
  <c r="F100" i="1" s="1"/>
  <c r="E111" i="1"/>
  <c r="F111" i="1" s="1"/>
  <c r="E105" i="1"/>
  <c r="F105" i="1" s="1"/>
  <c r="E106" i="1"/>
  <c r="F106" i="1" s="1"/>
  <c r="E104" i="1"/>
  <c r="I104" i="1" s="1"/>
  <c r="J104" i="1" s="1"/>
  <c r="E98" i="1"/>
  <c r="E99" i="1"/>
  <c r="E107" i="1"/>
  <c r="F107" i="1" s="1"/>
  <c r="E103" i="1"/>
  <c r="F103" i="1" s="1"/>
  <c r="E102" i="1"/>
  <c r="F102" i="1" s="1"/>
  <c r="E101" i="1"/>
  <c r="K35" i="4" l="1"/>
  <c r="C27" i="4"/>
  <c r="E109" i="1"/>
  <c r="I35" i="4"/>
  <c r="F99" i="1"/>
  <c r="F98" i="1"/>
  <c r="I46" i="4"/>
  <c r="I38" i="4"/>
  <c r="C29" i="4"/>
  <c r="K22" i="4"/>
  <c r="M38" i="4" s="1"/>
  <c r="I50" i="4"/>
  <c r="I47" i="4"/>
  <c r="F22" i="4"/>
  <c r="M35" i="4" s="1"/>
  <c r="C28" i="4"/>
  <c r="I41" i="4"/>
  <c r="F97" i="1"/>
  <c r="H99" i="1"/>
  <c r="H98" i="1"/>
  <c r="I108" i="1"/>
  <c r="M22" i="4" s="1"/>
  <c r="H108" i="1"/>
  <c r="I110" i="1"/>
  <c r="J110" i="1" s="1"/>
  <c r="I100" i="1"/>
  <c r="J100" i="1" s="1"/>
  <c r="I106" i="1"/>
  <c r="J106" i="1" s="1"/>
  <c r="I111" i="1"/>
  <c r="J111" i="1" s="1"/>
  <c r="F108" i="1"/>
  <c r="I107" i="1"/>
  <c r="J107" i="1" s="1"/>
  <c r="F104" i="1"/>
  <c r="I98" i="1"/>
  <c r="I109" i="1"/>
  <c r="J109" i="1" s="1"/>
  <c r="F109" i="1"/>
  <c r="I105" i="1"/>
  <c r="J105" i="1" s="1"/>
  <c r="I97" i="1"/>
  <c r="I103" i="1"/>
  <c r="J103" i="1" s="1"/>
  <c r="I102" i="1"/>
  <c r="J102" i="1" s="1"/>
  <c r="I99" i="1"/>
  <c r="F101" i="1"/>
  <c r="I101" i="1"/>
  <c r="J101" i="1" s="1"/>
  <c r="H97" i="1"/>
  <c r="M47" i="4" l="1"/>
  <c r="M50" i="4"/>
  <c r="I49" i="4"/>
  <c r="H22" i="4"/>
  <c r="C30" i="4"/>
  <c r="I53" i="4"/>
  <c r="J98" i="1"/>
  <c r="J97" i="1"/>
  <c r="J99" i="1"/>
  <c r="J108" i="1"/>
  <c r="I51" i="4" l="1"/>
  <c r="M41" i="4"/>
  <c r="N22" i="4"/>
  <c r="C31" i="4"/>
  <c r="G112" i="1"/>
  <c r="D112" i="1"/>
  <c r="E112" i="1"/>
  <c r="G122" i="1" l="1"/>
  <c r="E137" i="1"/>
  <c r="G137" i="1"/>
  <c r="C101" i="4"/>
  <c r="I112" i="1"/>
  <c r="C77" i="4" l="1"/>
  <c r="F137" i="1"/>
  <c r="C142" i="1" s="1"/>
  <c r="I122" i="1"/>
  <c r="C113" i="1" s="1"/>
  <c r="K63" i="1" s="1"/>
  <c r="C211" i="4" l="1"/>
  <c r="G211" i="4" s="1"/>
  <c r="D196" i="4"/>
  <c r="C205" i="4"/>
  <c r="D77" i="4"/>
  <c r="C78" i="4" s="1"/>
  <c r="H63" i="1"/>
  <c r="K122" i="1"/>
  <c r="C215" i="4" l="1"/>
  <c r="G215" i="4" s="1"/>
  <c r="G205" i="4"/>
  <c r="F196" i="4"/>
  <c r="E196" i="4"/>
  <c r="E200" i="4"/>
  <c r="C213" i="4"/>
  <c r="G213" i="4" s="1"/>
  <c r="E205" i="4"/>
  <c r="D78" i="4"/>
  <c r="C79" i="4" l="1"/>
  <c r="D79" i="4" s="1"/>
  <c r="C80" i="4" s="1"/>
  <c r="C200" i="4"/>
  <c r="G200" i="4" s="1"/>
  <c r="G196" i="4"/>
  <c r="D80" i="4"/>
  <c r="C81" i="4" s="1"/>
  <c r="D81" i="4" l="1"/>
  <c r="C82" i="4" s="1"/>
  <c r="D82" i="4" l="1"/>
  <c r="C83" i="4" s="1"/>
  <c r="D83" i="4" l="1"/>
  <c r="C84" i="4" s="1"/>
  <c r="D84" i="4" l="1"/>
  <c r="C85" i="4" s="1"/>
  <c r="D85" i="4" l="1"/>
  <c r="C86" i="4" s="1"/>
  <c r="D86" i="4" l="1"/>
  <c r="C87" i="4" s="1"/>
  <c r="D87" i="4" l="1"/>
  <c r="C88" i="4" s="1"/>
  <c r="D88" i="4" l="1"/>
  <c r="C89" i="4" s="1"/>
  <c r="D89" i="4" l="1"/>
  <c r="C90" i="4" s="1"/>
  <c r="D90" i="4" l="1"/>
  <c r="C91" i="4" s="1"/>
  <c r="D91" i="4" s="1"/>
  <c r="G116" i="4" l="1"/>
  <c r="C116" i="4"/>
  <c r="K135" i="4" l="1"/>
  <c r="G117" i="4"/>
  <c r="G118" i="4" s="1"/>
  <c r="G119" i="4" s="1"/>
  <c r="G120" i="4" s="1"/>
  <c r="G121" i="4" s="1"/>
  <c r="G122" i="4" s="1"/>
  <c r="G123" i="4" s="1"/>
  <c r="G124" i="4" s="1"/>
  <c r="G125" i="4" s="1"/>
  <c r="G126" i="4" s="1"/>
  <c r="G127" i="4" s="1"/>
  <c r="G135" i="4"/>
  <c r="H116" i="4"/>
  <c r="C135" i="4"/>
  <c r="D116" i="4"/>
  <c r="C117" i="4" s="1"/>
  <c r="L116" i="4"/>
  <c r="K117" i="4" l="1"/>
  <c r="L117" i="4" s="1"/>
  <c r="H137" i="4"/>
  <c r="H138" i="4" s="1"/>
  <c r="D137" i="4"/>
  <c r="D138" i="4" s="1"/>
  <c r="H117" i="4"/>
  <c r="D117" i="4"/>
  <c r="C118" i="4" s="1"/>
  <c r="K118" i="4" l="1"/>
  <c r="L118" i="4" s="1"/>
  <c r="D118" i="4"/>
  <c r="C119" i="4" s="1"/>
  <c r="H118" i="4"/>
  <c r="K119" i="4" l="1"/>
  <c r="L119" i="4" s="1"/>
  <c r="H119" i="4"/>
  <c r="D119" i="4"/>
  <c r="C120" i="4" s="1"/>
  <c r="K120" i="4" l="1"/>
  <c r="L120" i="4" s="1"/>
  <c r="H120" i="4"/>
  <c r="D120" i="4"/>
  <c r="H121" i="4" s="1"/>
  <c r="K121" i="4" l="1"/>
  <c r="C121" i="4"/>
  <c r="D121" i="4" s="1"/>
  <c r="H122" i="4" s="1"/>
  <c r="L121" i="4" l="1"/>
  <c r="C122" i="4"/>
  <c r="D122" i="4" s="1"/>
  <c r="H123" i="4" s="1"/>
  <c r="K122" i="4" l="1"/>
  <c r="C123" i="4"/>
  <c r="D123" i="4" s="1"/>
  <c r="H124" i="4" s="1"/>
  <c r="L122" i="4" l="1"/>
  <c r="C124" i="4"/>
  <c r="D124" i="4" s="1"/>
  <c r="H125" i="4" s="1"/>
  <c r="K123" i="4" l="1"/>
  <c r="C125" i="4"/>
  <c r="D125" i="4" s="1"/>
  <c r="H126" i="4" s="1"/>
  <c r="L123" i="4" l="1"/>
  <c r="C126" i="4"/>
  <c r="D126" i="4" s="1"/>
  <c r="H127" i="4" s="1"/>
  <c r="H128" i="4" s="1"/>
  <c r="H135" i="4" s="1"/>
  <c r="H139" i="4" s="1"/>
  <c r="K124" i="4" l="1"/>
  <c r="C127" i="4"/>
  <c r="D127" i="4" s="1"/>
  <c r="D128" i="4" s="1"/>
  <c r="I135" i="4"/>
  <c r="L124" i="4" l="1"/>
  <c r="D135" i="4"/>
  <c r="K125" i="4" l="1"/>
  <c r="D139" i="4"/>
  <c r="E135" i="4"/>
  <c r="L125" i="4" l="1"/>
  <c r="K126" i="4" l="1"/>
  <c r="L126" i="4" l="1"/>
  <c r="K127" i="4" l="1"/>
  <c r="L127" i="4" s="1"/>
  <c r="L128" i="4" s="1"/>
  <c r="L135" i="4" l="1"/>
  <c r="D162" i="4" s="1"/>
  <c r="M135" i="4" l="1"/>
  <c r="D92" i="4"/>
  <c r="B93" i="4" l="1"/>
</calcChain>
</file>

<file path=xl/sharedStrings.xml><?xml version="1.0" encoding="utf-8"?>
<sst xmlns="http://schemas.openxmlformats.org/spreadsheetml/2006/main" count="362" uniqueCount="279">
  <si>
    <t>Valor do financiamento (Principal)</t>
  </si>
  <si>
    <t>P</t>
  </si>
  <si>
    <t>Taxa mensal de juros</t>
  </si>
  <si>
    <t>i</t>
  </si>
  <si>
    <t>Prazo de amortização (meses)</t>
  </si>
  <si>
    <t>n</t>
  </si>
  <si>
    <t>R</t>
  </si>
  <si>
    <t>Taxa anual de juros - nominal</t>
  </si>
  <si>
    <t>iAN</t>
  </si>
  <si>
    <t>Taxa anual de juros - efetiva</t>
  </si>
  <si>
    <t>iAE</t>
  </si>
  <si>
    <t>Sistema de amortização</t>
  </si>
  <si>
    <t>TP</t>
  </si>
  <si>
    <t>Fórmulas</t>
  </si>
  <si>
    <t>Calculado (pela Fórmula Price)</t>
  </si>
  <si>
    <t>i = iAN / 12</t>
  </si>
  <si>
    <t>(Raíz 12 de (1 + iAE)) - 1</t>
  </si>
  <si>
    <t>Prestação</t>
  </si>
  <si>
    <t>Montante</t>
  </si>
  <si>
    <t>Parcela</t>
  </si>
  <si>
    <t>Valor Presente</t>
  </si>
  <si>
    <t>% Juros</t>
  </si>
  <si>
    <t>Total</t>
  </si>
  <si>
    <t>Principal</t>
  </si>
  <si>
    <t>Juros lineares</t>
  </si>
  <si>
    <t>Juros sobre juros</t>
  </si>
  <si>
    <t>Tabela 01 - As cláusulas contratuais</t>
  </si>
  <si>
    <t>• Os valores no restante da planilha serão atualizados automaticamente por fórmulas.</t>
  </si>
  <si>
    <t>• Antes de prosseguir, é importante conferir se os dados informados estão consistentes entre si.</t>
  </si>
  <si>
    <t>Taxa anual nominal para mensal</t>
  </si>
  <si>
    <t>Taxa anual efetiva para mensal</t>
  </si>
  <si>
    <t>Valor Futuro, Valor Presente e Juros da Prestação</t>
  </si>
  <si>
    <t>Tabela 02 - Valor da prestação</t>
  </si>
  <si>
    <t>Tabela 03 - Taxas de juros informadas nas cláusulas</t>
  </si>
  <si>
    <t>Tabela 04 - Conversão de juros anuais para mensais</t>
  </si>
  <si>
    <t>Total Juros</t>
  </si>
  <si>
    <t xml:space="preserve">     Montante = Prestação * Prazo</t>
  </si>
  <si>
    <t>Valor Total Juros</t>
  </si>
  <si>
    <t>Fórmula para juros simples</t>
  </si>
  <si>
    <t>Fórmula para juros compostos</t>
  </si>
  <si>
    <t xml:space="preserve">    - calcular a taxa mensal a partir da taxa anual nominal informada, utilizando fórmula de juros simples;</t>
  </si>
  <si>
    <t xml:space="preserve">    - calcular a taxa mensal a partir da taxa anual efetiva informada, utilizando fórmula de juros compostos.</t>
  </si>
  <si>
    <t>Taxa mensal contratual</t>
  </si>
  <si>
    <t>Taxa anual nominal contratual</t>
  </si>
  <si>
    <t>Taxa anual efetiva contratual</t>
  </si>
  <si>
    <t>Valor</t>
  </si>
  <si>
    <t>Mês</t>
  </si>
  <si>
    <t>Juros mês</t>
  </si>
  <si>
    <t>Taxa</t>
  </si>
  <si>
    <t>• Terceiro passo: Confira se a alteração das cláusulas contratuais foi feita corretamente.</t>
  </si>
  <si>
    <t>Valor e taxa anuais
juros sobre juros</t>
  </si>
  <si>
    <t>Valor e taxa anuais
efetivos</t>
  </si>
  <si>
    <t>Valor e taxa anuais
nominais</t>
  </si>
  <si>
    <t>• Iniciamos a análise pela prestação 12.</t>
  </si>
  <si>
    <t xml:space="preserve">     no período analisado.</t>
  </si>
  <si>
    <t>• Para conferir se as 3 taxas estão consistentes entre si, uma forma é:</t>
  </si>
  <si>
    <t>• Valor e taxa anuais nominais</t>
  </si>
  <si>
    <t>• Valor e taxa anuais efetivas</t>
  </si>
  <si>
    <t>• Valor e taxa anuais de juros sobre juros</t>
  </si>
  <si>
    <t>Valor e taxa anuais juros nominais</t>
  </si>
  <si>
    <t>Valor e taxa anuais juros efetivos</t>
  </si>
  <si>
    <t>https://osjurossobrejurosdatp.com.br</t>
  </si>
  <si>
    <t>César Menezes</t>
  </si>
  <si>
    <t>Valor da prestação</t>
  </si>
  <si>
    <t>Total de juros</t>
  </si>
  <si>
    <t>Tabela 06 - Valor futuro, valor presente e valor de juros em cada prestação</t>
  </si>
  <si>
    <t>Tabela 05 - Valores básicos do contrato</t>
  </si>
  <si>
    <t>% sobre Principal</t>
  </si>
  <si>
    <t>Juros mês 01</t>
  </si>
  <si>
    <t>• Primeiro passo: Faça uma cópia de segurança desta planilha.</t>
  </si>
  <si>
    <t>• Os valores básicos que compõem o contrato são:</t>
  </si>
  <si>
    <t>Em SEU contrato:</t>
  </si>
  <si>
    <t>• O valor dos juros em cada prestação é a diferença entre o valor futuro (valor da prestação) e o valor presente (valor de amortização, ou principal).</t>
  </si>
  <si>
    <t>Composição dos juros: lineares + juros sobre juros</t>
  </si>
  <si>
    <t>Total juros da prestação</t>
  </si>
  <si>
    <t>juros sobre juros</t>
  </si>
  <si>
    <t>Valor dos juros no primeiro mês do período (no caso é o mês 01 da prestação)</t>
  </si>
  <si>
    <t>valor anual nominal</t>
  </si>
  <si>
    <t>valor anual efetivo</t>
  </si>
  <si>
    <t>diferença a maior</t>
  </si>
  <si>
    <t>• A diferença a maior é decorrente dos juros sobre juros incorridos no período.</t>
  </si>
  <si>
    <t>juros sobre juros incorridos no período.</t>
  </si>
  <si>
    <t xml:space="preserve">   dos juros do primeiro mês do período.</t>
  </si>
  <si>
    <t xml:space="preserve">   - Consequentemente o valor dos juros é igual para todos os meses da prestação.</t>
  </si>
  <si>
    <t xml:space="preserve">   - A diferença a maior é decorrente do valor dos juros sobre juros incorridos no período.</t>
  </si>
  <si>
    <t>• Operações seguintes, como o fluxo de caixa descontado e a tabela de evolução do saldo devedor, não calculam juros.</t>
  </si>
  <si>
    <t xml:space="preserve">   Apenas distribuem o valor total de juros calculado pela Fórmula Price de cálculo do valor da prestação.</t>
  </si>
  <si>
    <r>
      <t xml:space="preserve">   Se VOCÊ tiver interesse em estudar com mais detalhe e precisar intencionalmente fazer alterações, a senha é "</t>
    </r>
    <r>
      <rPr>
        <b/>
        <sz val="11"/>
        <color theme="1"/>
        <rFont val="Calibri"/>
        <family val="2"/>
        <scheme val="minor"/>
      </rPr>
      <t>price</t>
    </r>
    <r>
      <rPr>
        <sz val="11"/>
        <color theme="1"/>
        <rFont val="Calibri"/>
        <family val="2"/>
        <scheme val="minor"/>
      </rPr>
      <t>".</t>
    </r>
  </si>
  <si>
    <t>DIVERGENTE</t>
  </si>
  <si>
    <t xml:space="preserve">ou de </t>
  </si>
  <si>
    <t>.</t>
  </si>
  <si>
    <t xml:space="preserve">• Se VOCÊ substituir os dados da planilha pelos de SEU contrato, podem aparecer avisos de </t>
  </si>
  <si>
    <t xml:space="preserve">   São apenas alertas, não impedem os cálculos.</t>
  </si>
  <si>
    <t>FALTA ATUALIZAR A TABELA XX</t>
  </si>
  <si>
    <t xml:space="preserve">   Confira se os dados estão OK.</t>
  </si>
  <si>
    <t>• Se as 2 taxas mensais calculadas forem iguais à taxa mensal informada, isto é prova de que estão consistentes entre si, podemos continuar.</t>
  </si>
  <si>
    <t>Valor e taxa do primeiro mês do período</t>
  </si>
  <si>
    <t>Principal do período</t>
  </si>
  <si>
    <t>• As taxas anuais estipuladas contratualmente tem necessariamente valores anuais correspondentes.</t>
  </si>
  <si>
    <t xml:space="preserve">   Facilita a visualização porque, pelo fato de ter exatamente 12 meses, os principais valores anuais e taxas anuais correspondentes </t>
  </si>
  <si>
    <t xml:space="preserve">    aparecem espontaneamente, sem necessidade de cálculos adicionais.</t>
  </si>
  <si>
    <t>valor efetivo</t>
  </si>
  <si>
    <t>principal</t>
  </si>
  <si>
    <t>taxa efetiva</t>
  </si>
  <si>
    <t>valor nominal</t>
  </si>
  <si>
    <t>taxa nominal</t>
  </si>
  <si>
    <t>valor mês 01</t>
  </si>
  <si>
    <t>taxa mensal</t>
  </si>
  <si>
    <t>Valor anual de juros efetivos (é o valor total de juros da prestação)</t>
  </si>
  <si>
    <t>Valor anual de juros nominais (é o valor de juros lineares da prestação)</t>
  </si>
  <si>
    <t>Valor anual de juros sobre juros (é o valor dos juros sobre juros incorridos no período)</t>
  </si>
  <si>
    <t>• O valor anual de juros nominais é necessariamente igual ao duodécuplo do valor</t>
  </si>
  <si>
    <t>• O valor anual de juros efetivos é necessariamente maior do que o duodécuplo do valor</t>
  </si>
  <si>
    <t>Valor total juros</t>
  </si>
  <si>
    <t xml:space="preserve">   Se for diferença apenas de arredondamento, ignore o alerta.</t>
  </si>
  <si>
    <t>Principal do período (que no caso é o valor presente da prestação)</t>
  </si>
  <si>
    <t>• Se o valor Informado e o valor calculado forem iguais entre si é prova de que os dados informados estão corretos, podemos continuar.</t>
  </si>
  <si>
    <t>• Utilizaremos daqui para a frente o valor calculado, que tem mais precisão nas casas decimais.</t>
  </si>
  <si>
    <t xml:space="preserve">     Valor total de juros = Montante - Principal</t>
  </si>
  <si>
    <t>Quadro 1</t>
  </si>
  <si>
    <t>Quadro 2</t>
  </si>
  <si>
    <t xml:space="preserve">   Que é (por óbvio) a taxa mensal de juros definida nas cláusulas contratuais.</t>
  </si>
  <si>
    <r>
      <t xml:space="preserve">• Confira se todas as fórmulas da linha de </t>
    </r>
    <r>
      <rPr>
        <b/>
        <sz val="11"/>
        <color rgb="FF0070C0"/>
        <rFont val="Calibri"/>
        <family val="2"/>
        <scheme val="minor"/>
      </rPr>
      <t>Total</t>
    </r>
    <r>
      <rPr>
        <sz val="11"/>
        <color rgb="FF0070C0"/>
        <rFont val="Calibri"/>
        <family val="2"/>
        <scheme val="minor"/>
      </rPr>
      <t xml:space="preserve"> estão corretas.</t>
    </r>
  </si>
  <si>
    <r>
      <t xml:space="preserve">• A linha deve ter os mesmos valores da tabela </t>
    </r>
    <r>
      <rPr>
        <b/>
        <sz val="11"/>
        <color rgb="FF0070C0"/>
        <rFont val="Calibri"/>
        <family val="2"/>
        <scheme val="minor"/>
      </rPr>
      <t>Tabela 05.</t>
    </r>
  </si>
  <si>
    <r>
      <t xml:space="preserve">   E a soma de </t>
    </r>
    <r>
      <rPr>
        <b/>
        <sz val="11"/>
        <color rgb="FF0070C0"/>
        <rFont val="Calibri"/>
        <family val="2"/>
        <scheme val="minor"/>
      </rPr>
      <t>Juros lineares</t>
    </r>
    <r>
      <rPr>
        <sz val="11"/>
        <color rgb="FF0070C0"/>
        <rFont val="Calibri"/>
        <family val="2"/>
        <scheme val="minor"/>
      </rPr>
      <t xml:space="preserve"> + </t>
    </r>
    <r>
      <rPr>
        <b/>
        <sz val="11"/>
        <color rgb="FF0070C0"/>
        <rFont val="Calibri"/>
        <family val="2"/>
        <scheme val="minor"/>
      </rPr>
      <t>Juros sobre Juros</t>
    </r>
    <r>
      <rPr>
        <sz val="11"/>
        <color rgb="FF0070C0"/>
        <rFont val="Calibri"/>
        <family val="2"/>
        <scheme val="minor"/>
      </rPr>
      <t xml:space="preserve"> deve ser igual ao </t>
    </r>
    <r>
      <rPr>
        <b/>
        <sz val="11"/>
        <color rgb="FF0070C0"/>
        <rFont val="Calibri"/>
        <family val="2"/>
        <scheme val="minor"/>
      </rPr>
      <t>Valor Total Juros</t>
    </r>
    <r>
      <rPr>
        <sz val="11"/>
        <color rgb="FF0070C0"/>
        <rFont val="Calibri"/>
        <family val="2"/>
        <scheme val="minor"/>
      </rPr>
      <t>.</t>
    </r>
  </si>
  <si>
    <t>Substitua as cláusulas contratuais</t>
  </si>
  <si>
    <t>• As taxas anuais e seus correspondentes valores anuais são consistentes para o contrato como um todo:</t>
  </si>
  <si>
    <t xml:space="preserve">   São identificadas em qualquer período contínuo de 12 meses, em qualquer prestação que tenha 12 ou mais meses.</t>
  </si>
  <si>
    <t xml:space="preserve">   A análise do duodécuplo tem que ser feita com base em valores anuais de cada contrato (concretos), não em taxas anuais (abstratas).</t>
  </si>
  <si>
    <t>Contatos</t>
  </si>
  <si>
    <t>• César Menezes</t>
  </si>
  <si>
    <t xml:space="preserve">   cesarm@uol.com.br</t>
  </si>
  <si>
    <t>• Dr. Angelo Marcelo Gasperini</t>
  </si>
  <si>
    <t xml:space="preserve">   www.gasperinieassociados.com.br</t>
  </si>
  <si>
    <t>Confira o valor da prestação</t>
  </si>
  <si>
    <t>Confira as taxas anuais de juros</t>
  </si>
  <si>
    <r>
      <t xml:space="preserve">Informado por Você na </t>
    </r>
    <r>
      <rPr>
        <b/>
        <sz val="11"/>
        <color rgb="FF0070C0"/>
        <rFont val="Calibri"/>
        <family val="2"/>
        <scheme val="minor"/>
      </rPr>
      <t>Tabela 01</t>
    </r>
  </si>
  <si>
    <r>
      <t>R = (P * i) / (1 - (1 / (1 + i)</t>
    </r>
    <r>
      <rPr>
        <vertAlign val="superscript"/>
        <sz val="11"/>
        <color rgb="FF0070C0"/>
        <rFont val="Calibri"/>
        <family val="2"/>
        <scheme val="minor"/>
      </rPr>
      <t>n</t>
    </r>
  </si>
  <si>
    <t>de nosso exemplo pelas cláusulas</t>
  </si>
  <si>
    <t>de SEU contrato.</t>
  </si>
  <si>
    <r>
      <t xml:space="preserve">• Segundo passo: Na </t>
    </r>
    <r>
      <rPr>
        <b/>
        <sz val="11"/>
        <color rgb="FF0070C0"/>
        <rFont val="Calibri"/>
        <family val="2"/>
        <scheme val="minor"/>
      </rPr>
      <t>Tabela 01 - As cláusulas contratuais</t>
    </r>
    <r>
      <rPr>
        <sz val="11"/>
        <color rgb="FF0070C0"/>
        <rFont val="Calibri"/>
        <family val="2"/>
        <scheme val="minor"/>
      </rPr>
      <t xml:space="preserve"> substitua as cláusulas contratuais do exemplo pelas de SEU contrato.</t>
    </r>
  </si>
  <si>
    <r>
      <t xml:space="preserve">      □ </t>
    </r>
    <r>
      <rPr>
        <b/>
        <sz val="11"/>
        <color rgb="FF0070C0"/>
        <rFont val="Calibri"/>
        <family val="2"/>
        <scheme val="minor"/>
      </rPr>
      <t>Tabela 06 - Valor futuro, valor presente e valor de juros em cada prestação</t>
    </r>
  </si>
  <si>
    <t>• A cópia da planilha e do artigo são livres, desde que citada a fonte e os contatos.</t>
  </si>
  <si>
    <t>• Como resultado direto da Fórmula Price de cálculo do valor da prestação havíamos identificado os seguintes valores básicos do contrato:</t>
  </si>
  <si>
    <t xml:space="preserve">   identificamos agora que os valores básicos do contrato na verdade são:</t>
  </si>
  <si>
    <t>• Podemos deduzir a seguinte regra geral:</t>
  </si>
  <si>
    <t>• Utilizamos para isso o fluxo de caixa projetado e o fluxo de caixa descontado.</t>
  </si>
  <si>
    <t>• O fluxo de caixa projetado, como o próprio nome diz, é a projeção do valor de cada prestação no tempo, isto é, em seu mês de vencimento.</t>
  </si>
  <si>
    <t xml:space="preserve">• O fluxo de caixa descontado, como também indicado pelo próprio nome, consiste em descontar o valor dos juros que estão incorporados em </t>
  </si>
  <si>
    <t xml:space="preserve">   cada prestação (valor futuro) e trazê-la para seu valor no mês 0 (seu valor presente). </t>
  </si>
  <si>
    <t>• Como decorrência direta da Fórmula Price de cálculo do valor da prestação temos também o montante e o valor total de juros.</t>
  </si>
  <si>
    <t xml:space="preserve">   Para isso:</t>
  </si>
  <si>
    <t>Prestação a ser consultada</t>
  </si>
  <si>
    <t>• Informe a prestação que deseja consultar.</t>
  </si>
  <si>
    <t>• Informe o período de 12 meses que deseja consultar.</t>
  </si>
  <si>
    <t>Período de 12 meses</t>
  </si>
  <si>
    <t>Dados da prestação selecionada</t>
  </si>
  <si>
    <t>Período de 12 meses a ser consultado</t>
  </si>
  <si>
    <t>Dados do período selecionado</t>
  </si>
  <si>
    <t>Diferença juros nominais</t>
  </si>
  <si>
    <t>Diferença juros efetivos</t>
  </si>
  <si>
    <r>
      <t xml:space="preserve">• A linha deve ter os mesmos valores da tabela </t>
    </r>
    <r>
      <rPr>
        <b/>
        <sz val="11"/>
        <color rgb="FF0070C0"/>
        <rFont val="Calibri"/>
        <family val="2"/>
        <scheme val="minor"/>
      </rPr>
      <t>Tabela 06.</t>
    </r>
  </si>
  <si>
    <t>Análise do período selecionado</t>
  </si>
  <si>
    <t>Valor e taxa anuais juros sobre juros</t>
  </si>
  <si>
    <t>é prova suficiente e irrefutável de que o contrato utiliza capitalização de juros,</t>
  </si>
  <si>
    <t xml:space="preserve">   São juros compostos (efetivos).</t>
  </si>
  <si>
    <t xml:space="preserve">e de a taxa anual efetiva ser maior do que o duodécuplo da taxa mensal </t>
  </si>
  <si>
    <t>em periodicidade inferior a anual.</t>
  </si>
  <si>
    <t>O simples fato das taxas anuais estarem explicitadas como cláusulas contratuais</t>
  </si>
  <si>
    <t>• Nosso próximo passo é calcular o valor dos juros e de amortização (principal) contidos em cada prestação.</t>
  </si>
  <si>
    <t>duodécuplo do valor dos juros do primeiro mês:</t>
  </si>
  <si>
    <t>Juros acumulados</t>
  </si>
  <si>
    <r>
      <t xml:space="preserve">• A </t>
    </r>
    <r>
      <rPr>
        <b/>
        <sz val="11"/>
        <color theme="1"/>
        <rFont val="Calibri"/>
        <family val="2"/>
        <scheme val="minor"/>
      </rPr>
      <t>Tabela 06</t>
    </r>
    <r>
      <rPr>
        <sz val="11"/>
        <color theme="1"/>
        <rFont val="Calibri"/>
        <family val="2"/>
        <scheme val="minor"/>
      </rPr>
      <t xml:space="preserve"> tem, no </t>
    </r>
    <r>
      <rPr>
        <b/>
        <sz val="11"/>
        <color theme="1"/>
        <rFont val="Calibri"/>
        <family val="2"/>
        <scheme val="minor"/>
      </rPr>
      <t>Quadro 1</t>
    </r>
    <r>
      <rPr>
        <sz val="11"/>
        <color theme="1"/>
        <rFont val="Calibri"/>
        <family val="2"/>
        <scheme val="minor"/>
      </rPr>
      <t xml:space="preserve">, o mesmo conteúdo da </t>
    </r>
    <r>
      <rPr>
        <b/>
        <sz val="11"/>
        <color theme="1"/>
        <rFont val="Calibri"/>
        <family val="2"/>
        <scheme val="minor"/>
      </rPr>
      <t>Tabela 05</t>
    </r>
    <r>
      <rPr>
        <sz val="11"/>
        <color theme="1"/>
        <rFont val="Calibri"/>
        <family val="2"/>
        <scheme val="minor"/>
      </rPr>
      <t>, apenas distribuindo os valores básicos do contrato entre as prestações.</t>
    </r>
  </si>
  <si>
    <t xml:space="preserve">   - Os juros acumulados no primeiro mês do período por óbvio são zero.</t>
  </si>
  <si>
    <t xml:space="preserve">      Ou exclua as linhas em excesso.</t>
  </si>
  <si>
    <t>• Para efeito de análise do duodécuplo, os valores que nos importam no período de 12 meses consecutivos da prestação 12 são:</t>
  </si>
  <si>
    <t>Relembrando as taxas de juros no contrato (cláusulas contratuais)</t>
  </si>
  <si>
    <t>As taxas de juros contratuais</t>
  </si>
  <si>
    <t>O duodécuplo</t>
  </si>
  <si>
    <t xml:space="preserve">   juros sobre juros no valor de:</t>
  </si>
  <si>
    <t>• O valor anual de juros efetivos dividido pelo principal do período resulta na taxa anual de juros efetivos.</t>
  </si>
  <si>
    <t>• O valor anual de juros nominais dividido pelo principal do período resulta na taxa anual de juros nominais.</t>
  </si>
  <si>
    <t>• O valor dos juros no primeiro mês do período dividido pelo principal do período resulta na taxa mensal de juros.</t>
  </si>
  <si>
    <t xml:space="preserve">   - Por óbvio o valor total de juros efetivos é maior do que o duodécuplo do valor de juros no primeiro mês do período.</t>
  </si>
  <si>
    <t xml:space="preserve">   - Por óbvio o valor total de juros nominais é igual ao duodécuplo do valor de juros no primeiro mês do período.</t>
  </si>
  <si>
    <t>2) Os juros sobre juros da Tabela Price em SEU contrato</t>
  </si>
  <si>
    <t>3) Duodécuplo - O valor anual de juros efetivos e o valor anual de juros nominais em SEU contrato</t>
  </si>
  <si>
    <t>2.1) Passos para substituir as cláusulas do exemplo pelas de SEU contrato</t>
  </si>
  <si>
    <t>3.1) Análise do valor anual efetivo e do valor anual nominal na prestação 12 do contrato</t>
  </si>
  <si>
    <t>2.3) Substitua os dados da Tabela 01 pelas cláusulas de SEU contrato</t>
  </si>
  <si>
    <t>• Se SEU contrato é regido por Tabela Price, os juros são compostos, formados por juros lineares + juros sobre juros.</t>
  </si>
  <si>
    <r>
      <t xml:space="preserve">• O </t>
    </r>
    <r>
      <rPr>
        <b/>
        <sz val="11"/>
        <color theme="1"/>
        <rFont val="Calibri"/>
        <family val="2"/>
        <scheme val="minor"/>
      </rPr>
      <t>Quadro 2</t>
    </r>
    <r>
      <rPr>
        <sz val="11"/>
        <color theme="1"/>
        <rFont val="Calibri"/>
        <family val="2"/>
        <scheme val="minor"/>
      </rPr>
      <t xml:space="preserve"> é uma forma simplificada de calcular os juros lineares e os juros sobre juros que formam o valor de juros compostos de cada prestação.</t>
    </r>
  </si>
  <si>
    <t>• Copie a linha da parcela 15 até alcançar o número de prestações de SEU contrato.</t>
  </si>
  <si>
    <t>Confira se a substituição foi feita corretamente</t>
  </si>
  <si>
    <r>
      <t>• Como resultado do detalhamento dos juros lineares e dos juros sobre juros em cada prestação (</t>
    </r>
    <r>
      <rPr>
        <b/>
        <sz val="11"/>
        <color theme="1"/>
        <rFont val="Calibri"/>
        <family val="2"/>
        <scheme val="minor"/>
      </rPr>
      <t>Tabela 06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Quadro 2</t>
    </r>
    <r>
      <rPr>
        <sz val="11"/>
        <color theme="1"/>
        <rFont val="Calibri"/>
        <family val="2"/>
        <scheme val="minor"/>
      </rPr>
      <t xml:space="preserve">), </t>
    </r>
  </si>
  <si>
    <t xml:space="preserve">• Vemos então que, como resultado do processo de capitalização mensal dos juros, VOCÊ paga, em SEU contrato, </t>
  </si>
  <si>
    <t>•  É o valor de juros da prestação selecionada, distribuído pelos meses que formam a prestação.</t>
  </si>
  <si>
    <r>
      <t xml:space="preserve">      A </t>
    </r>
    <r>
      <rPr>
        <b/>
        <sz val="11"/>
        <color rgb="FF0070C0"/>
        <rFont val="Calibri"/>
        <family val="2"/>
        <scheme val="minor"/>
      </rPr>
      <t>Tabela 09</t>
    </r>
    <r>
      <rPr>
        <sz val="11"/>
        <color rgb="FF0070C0"/>
        <rFont val="Calibri"/>
        <family val="2"/>
        <scheme val="minor"/>
      </rPr>
      <t xml:space="preserve"> deve ficar com a mesma quantidade de meses da prestação selecionada.</t>
    </r>
  </si>
  <si>
    <r>
      <t xml:space="preserve">      Exemplo: se, para SEU contrato, VOCÊ informou prestação 153, a </t>
    </r>
    <r>
      <rPr>
        <b/>
        <sz val="11"/>
        <color rgb="FF0070C0"/>
        <rFont val="Calibri"/>
        <family val="2"/>
        <scheme val="minor"/>
      </rPr>
      <t>Tabela 09</t>
    </r>
    <r>
      <rPr>
        <sz val="11"/>
        <color rgb="FF0070C0"/>
        <rFont val="Calibri"/>
        <family val="2"/>
        <scheme val="minor"/>
      </rPr>
      <t xml:space="preserve"> deve ficar com 153 linhas (os 153 meses da prestação).</t>
    </r>
  </si>
  <si>
    <t>3.3) Conclusões</t>
  </si>
  <si>
    <t xml:space="preserve">• Vemos então que, como resultado do processo de capitalização mensal dos juros, VOCÊ paga, neste período de 12 meses, </t>
  </si>
  <si>
    <r>
      <t xml:space="preserve">• Uma forma prática de identificar a periodicidade é analisar a evolução do valor dos juros na </t>
    </r>
    <r>
      <rPr>
        <b/>
        <sz val="11"/>
        <color theme="1"/>
        <rFont val="Calibri"/>
        <family val="2"/>
        <scheme val="minor"/>
      </rPr>
      <t>Tabela 09.</t>
    </r>
  </si>
  <si>
    <t>• Se o valor dos juros no segundo mês for maior do que o dos juros no primeiro mês, é prova de que houve capitalização dos juros do primeiro mês.</t>
  </si>
  <si>
    <t xml:space="preserve">   A capitalização portanto é mensal.</t>
  </si>
  <si>
    <t xml:space="preserve">   no link </t>
  </si>
  <si>
    <t xml:space="preserve">   Fácil, com poucas explicações, mas muito direta.</t>
  </si>
  <si>
    <t xml:space="preserve">   Apresenta um exemplo, que pode ser substituído pelos dados de SEU contrato.</t>
  </si>
  <si>
    <r>
      <t xml:space="preserve">• </t>
    </r>
    <r>
      <rPr>
        <b/>
        <sz val="11"/>
        <color theme="1"/>
        <rFont val="Calibri"/>
        <family val="2"/>
        <scheme val="minor"/>
      </rPr>
      <t>Duodécuplo - Os erros do Recurso Especial Repetitivo 973.827 RS</t>
    </r>
    <r>
      <rPr>
        <sz val="11"/>
        <color theme="1"/>
        <rFont val="Calibri"/>
        <family val="2"/>
        <scheme val="minor"/>
      </rPr>
      <t xml:space="preserve"> é também um conjunto de artigo + planilha, </t>
    </r>
  </si>
  <si>
    <t xml:space="preserve">   com informações muito mais detalhadas.</t>
  </si>
  <si>
    <t xml:space="preserve">   Destinado a pessoas que tem interesse numa avaliação aprofundada do assunto.</t>
  </si>
  <si>
    <t xml:space="preserve">   Apresenta também um exemplo, que pode ser substituído pelos dados de SEU contrato.</t>
  </si>
  <si>
    <t xml:space="preserve">   interesse numa avaliação rápida de SEU contrato.</t>
  </si>
  <si>
    <t xml:space="preserve">• As planilhas (abas) estão protegidas por senha, apenas para evitar alteração não intencional nas fórmulas </t>
  </si>
  <si>
    <t xml:space="preserve">   e na estrutura.</t>
  </si>
  <si>
    <r>
      <t xml:space="preserve">   siga o ítem </t>
    </r>
    <r>
      <rPr>
        <b/>
        <sz val="11"/>
        <color rgb="FF0070C0"/>
        <rFont val="Calibri"/>
        <family val="2"/>
        <scheme val="minor"/>
      </rPr>
      <t>3.2</t>
    </r>
    <r>
      <rPr>
        <sz val="11"/>
        <color rgb="FF0070C0"/>
        <rFont val="Calibri"/>
        <family val="2"/>
        <scheme val="minor"/>
      </rPr>
      <t xml:space="preserve"> na aba </t>
    </r>
    <r>
      <rPr>
        <b/>
        <sz val="11"/>
        <color rgb="FF0070C0"/>
        <rFont val="Calibri"/>
        <family val="2"/>
        <scheme val="minor"/>
      </rPr>
      <t>O duodécuplo</t>
    </r>
    <r>
      <rPr>
        <sz val="11"/>
        <color rgb="FF0070C0"/>
        <rFont val="Calibri"/>
        <family val="2"/>
        <scheme val="minor"/>
      </rPr>
      <t>.</t>
    </r>
  </si>
  <si>
    <t>3.2) Análise dos valores anuais efetivos e dos valores anuais nominais em qualquer período de 12 meses consecutivos</t>
  </si>
  <si>
    <t>• VOCÊ pode escolher qualquer período de 12 meses consecutivos, em qualquer prestação que tenha 12 ou mais meses.</t>
  </si>
  <si>
    <t>1.1) Apresentação</t>
  </si>
  <si>
    <t xml:space="preserve">   - O valor total de juros efetivos nos 12 meses dividido pelo principal do primeiro mês do período é a taxa anual efetiva no período analisado.</t>
  </si>
  <si>
    <t xml:space="preserve">   - O valor total de juros nominais nos 12 meses dividido pelo principal do primeiro mês do período é a taxa anual nominal no período analisado.</t>
  </si>
  <si>
    <t>• A periodicidade exata é identificada na análise específica de cada contrato.</t>
  </si>
  <si>
    <t>2.2) As cláusulas do contrato</t>
  </si>
  <si>
    <t>• Copie a linha da parcela 15 até alcançar o número de parcelas de SEU contrato na seguinte tabela:</t>
  </si>
  <si>
    <t>2.4) Complete a tabela abaixo com as prestações de SEU contrato</t>
  </si>
  <si>
    <r>
      <t xml:space="preserve">   Confira se a linha de </t>
    </r>
    <r>
      <rPr>
        <b/>
        <sz val="11"/>
        <color rgb="FF0070C0"/>
        <rFont val="Calibri"/>
        <family val="2"/>
        <scheme val="minor"/>
      </rPr>
      <t>Total</t>
    </r>
    <r>
      <rPr>
        <sz val="11"/>
        <color rgb="FF0070C0"/>
        <rFont val="Calibri"/>
        <family val="2"/>
        <scheme val="minor"/>
      </rPr>
      <t xml:space="preserve"> está correta.</t>
    </r>
  </si>
  <si>
    <r>
      <t xml:space="preserve">• Quarto passo: Copie a linha da parcela 15 até alcançar o número de parcelas de SEU contrato na </t>
    </r>
    <r>
      <rPr>
        <b/>
        <sz val="11"/>
        <color rgb="FF0070C0"/>
        <rFont val="Calibri"/>
        <family val="2"/>
        <scheme val="minor"/>
      </rPr>
      <t>Tabela 06</t>
    </r>
    <r>
      <rPr>
        <sz val="11"/>
        <color rgb="FF0070C0"/>
        <rFont val="Calibri"/>
        <family val="2"/>
        <scheme val="minor"/>
      </rPr>
      <t>:</t>
    </r>
  </si>
  <si>
    <t>• Quinto passo: Se tiver interesse em analisar os juros anuais e a questão do duodécuplo em outros períodos de 12 meses,</t>
  </si>
  <si>
    <t>2.5) Calcular o montante e o valor total de juros</t>
  </si>
  <si>
    <t>2.6) O valor dos juros e de amortização em cada parcela</t>
  </si>
  <si>
    <t>2.7) Os valores básicos do contrato, detalhados por juros lineares e juros sobre juros</t>
  </si>
  <si>
    <t>Mês 01</t>
  </si>
  <si>
    <t>Mês 02</t>
  </si>
  <si>
    <t>Juros do mês</t>
  </si>
  <si>
    <t xml:space="preserve">   O valor dos juros no mês 02 é maior do que o valor no mês 01.</t>
  </si>
  <si>
    <t>Juros mês 02</t>
  </si>
  <si>
    <t xml:space="preserve">   O principal do mês 02 é resultado da soma do principal do mês 01 com os juros do mês 01 (capitalização).</t>
  </si>
  <si>
    <t>Principal mês 01</t>
  </si>
  <si>
    <t>juros mês 01</t>
  </si>
  <si>
    <t>Principal mês 02</t>
  </si>
  <si>
    <t xml:space="preserve">   A diferença a maior no valor dos juros do mês 02 é resultado da capitalização dos juros do mês 01.</t>
  </si>
  <si>
    <t>Taxa mensal</t>
  </si>
  <si>
    <t>juros lineares</t>
  </si>
  <si>
    <t>juros compostos</t>
  </si>
  <si>
    <t xml:space="preserve">   - Em todas as prestações, a partir da 2, o valor dos juros no segundo mês é maior do que o valor no primeiro mês.</t>
  </si>
  <si>
    <r>
      <t xml:space="preserve">• Para o caso específico do contrato em análise, já havíamos identificado periodicidade mensal na </t>
    </r>
    <r>
      <rPr>
        <b/>
        <sz val="11"/>
        <color theme="1"/>
        <rFont val="Calibri"/>
        <family val="2"/>
        <scheme val="minor"/>
      </rPr>
      <t>Tabela 07</t>
    </r>
    <r>
      <rPr>
        <sz val="11"/>
        <color theme="1"/>
        <rFont val="Calibri"/>
        <family val="2"/>
        <scheme val="minor"/>
      </rPr>
      <t>:</t>
    </r>
  </si>
  <si>
    <t>Tabela 10 - Valores básicos do contrato - detalhamento por juros lineares + juros sobre juros</t>
  </si>
  <si>
    <t>Tabela 09 - Juros lineares e juros sobre juros em cada mês da prestação (apenas a prestação 12)</t>
  </si>
  <si>
    <t>Tabela 07 - O processo de formação dos juros em cada prestação</t>
  </si>
  <si>
    <t>Tabela 15.01 - Valor anual de juros efetivos</t>
  </si>
  <si>
    <t>Tabela 15.02 - Valor anual de juros nominais</t>
  </si>
  <si>
    <t>Tabela 15.03 - Valor anual de juros sobre juros</t>
  </si>
  <si>
    <r>
      <t xml:space="preserve">•  A Tabela </t>
    </r>
    <r>
      <rPr>
        <b/>
        <sz val="11"/>
        <color theme="1"/>
        <rFont val="Calibri"/>
        <family val="2"/>
        <scheme val="minor"/>
      </rPr>
      <t>15.01</t>
    </r>
    <r>
      <rPr>
        <sz val="11"/>
        <color theme="1"/>
        <rFont val="Calibri"/>
        <family val="2"/>
        <scheme val="minor"/>
      </rPr>
      <t xml:space="preserve"> tem o mesmo conteúdo da </t>
    </r>
    <r>
      <rPr>
        <b/>
        <sz val="11"/>
        <color theme="1"/>
        <rFont val="Calibri"/>
        <family val="2"/>
        <scheme val="minor"/>
      </rPr>
      <t>Tabela 07</t>
    </r>
    <r>
      <rPr>
        <sz val="11"/>
        <color theme="1"/>
        <rFont val="Calibri"/>
        <family val="2"/>
        <scheme val="minor"/>
      </rPr>
      <t>, mas fazendo o "corte" apenas dos meses selecionados.</t>
    </r>
  </si>
  <si>
    <r>
      <t xml:space="preserve">• Deixe a </t>
    </r>
    <r>
      <rPr>
        <b/>
        <sz val="11"/>
        <color rgb="FF0070C0"/>
        <rFont val="Calibri"/>
        <family val="2"/>
        <scheme val="minor"/>
      </rPr>
      <t>Tabela 07</t>
    </r>
    <r>
      <rPr>
        <sz val="11"/>
        <color rgb="FF0070C0"/>
        <rFont val="Calibri"/>
        <family val="2"/>
        <scheme val="minor"/>
      </rPr>
      <t xml:space="preserve"> com a quantidade de meses da prestação a ser consultada.</t>
    </r>
  </si>
  <si>
    <r>
      <t xml:space="preserve">   - Na </t>
    </r>
    <r>
      <rPr>
        <b/>
        <sz val="11"/>
        <color theme="1"/>
        <rFont val="Calibri"/>
        <family val="2"/>
        <scheme val="minor"/>
      </rPr>
      <t>Tabela 15.01</t>
    </r>
    <r>
      <rPr>
        <sz val="11"/>
        <color theme="1"/>
        <rFont val="Calibri"/>
        <family val="2"/>
        <scheme val="minor"/>
      </rPr>
      <t xml:space="preserve"> o principal aumenta todo mês, resultado da capitalização dos juros incorridos no mês anterior.</t>
    </r>
  </si>
  <si>
    <r>
      <t xml:space="preserve">   - Na </t>
    </r>
    <r>
      <rPr>
        <b/>
        <sz val="11"/>
        <color theme="1"/>
        <rFont val="Calibri"/>
        <family val="2"/>
        <scheme val="minor"/>
      </rPr>
      <t>Tabela 15.02</t>
    </r>
    <r>
      <rPr>
        <sz val="11"/>
        <color theme="1"/>
        <rFont val="Calibri"/>
        <family val="2"/>
        <scheme val="minor"/>
      </rPr>
      <t xml:space="preserve"> o principal de cada mês é constante, repetição do valor presente da prestação, sem capitalização de juros.</t>
    </r>
  </si>
  <si>
    <r>
      <t xml:space="preserve">   - Na Tabela </t>
    </r>
    <r>
      <rPr>
        <b/>
        <sz val="11"/>
        <color theme="1"/>
        <rFont val="Calibri"/>
        <family val="2"/>
        <scheme val="minor"/>
      </rPr>
      <t>15.03</t>
    </r>
    <r>
      <rPr>
        <sz val="11"/>
        <color theme="1"/>
        <rFont val="Calibri"/>
        <family val="2"/>
        <scheme val="minor"/>
      </rPr>
      <t xml:space="preserve"> o principal de cada mês é o valor total de juros lineares mais juros sobre juros incorridos até o mês anterior.</t>
    </r>
  </si>
  <si>
    <r>
      <t xml:space="preserve">   - O valor total de juros sobre juros nos 12 meses dividido pelo principal do primeiro mês do período da </t>
    </r>
    <r>
      <rPr>
        <b/>
        <sz val="11"/>
        <color theme="1"/>
        <rFont val="Calibri"/>
        <family val="2"/>
        <scheme val="minor"/>
      </rPr>
      <t>Tabela 15.01</t>
    </r>
    <r>
      <rPr>
        <sz val="11"/>
        <color theme="1"/>
        <rFont val="Calibri"/>
        <family val="2"/>
        <scheme val="minor"/>
      </rPr>
      <t xml:space="preserve"> é a taxa anual de juros sobre juros</t>
    </r>
  </si>
  <si>
    <r>
      <t xml:space="preserve">   Vejamos na </t>
    </r>
    <r>
      <rPr>
        <b/>
        <sz val="11"/>
        <color theme="1"/>
        <rFont val="Calibri"/>
        <family val="2"/>
        <scheme val="minor"/>
      </rPr>
      <t>Tabela 07</t>
    </r>
    <r>
      <rPr>
        <sz val="11"/>
        <color theme="1"/>
        <rFont val="Calibri"/>
        <family val="2"/>
        <scheme val="minor"/>
      </rPr>
      <t>, na prestação 2:</t>
    </r>
  </si>
  <si>
    <r>
      <t xml:space="preserve">•  A </t>
    </r>
    <r>
      <rPr>
        <b/>
        <sz val="11"/>
        <color theme="1"/>
        <rFont val="Calibri"/>
        <family val="2"/>
        <scheme val="minor"/>
      </rPr>
      <t>Tabela 15.02</t>
    </r>
    <r>
      <rPr>
        <sz val="11"/>
        <color theme="1"/>
        <rFont val="Calibri"/>
        <family val="2"/>
        <scheme val="minor"/>
      </rPr>
      <t xml:space="preserve"> e a </t>
    </r>
    <r>
      <rPr>
        <b/>
        <sz val="11"/>
        <color theme="1"/>
        <rFont val="Calibri"/>
        <family val="2"/>
        <scheme val="minor"/>
      </rPr>
      <t>Tabela 15.03</t>
    </r>
    <r>
      <rPr>
        <sz val="11"/>
        <color theme="1"/>
        <rFont val="Calibri"/>
        <family val="2"/>
        <scheme val="minor"/>
      </rPr>
      <t xml:space="preserve"> apresentam o desdobramento destes juros compostos em seus componentes de juros nominais + juros sobre juros.</t>
    </r>
  </si>
  <si>
    <t>Sumário:</t>
  </si>
  <si>
    <r>
      <t xml:space="preserve">   - No quadro </t>
    </r>
    <r>
      <rPr>
        <b/>
        <sz val="11"/>
        <color rgb="FF0070C0"/>
        <rFont val="Calibri"/>
        <family val="2"/>
        <scheme val="minor"/>
      </rPr>
      <t>Prestação a ser consultada</t>
    </r>
    <r>
      <rPr>
        <sz val="11"/>
        <color rgb="FF0070C0"/>
        <rFont val="Calibri"/>
        <family val="2"/>
        <scheme val="minor"/>
      </rPr>
      <t>, informe qual é a prestação que VOCÊ deseja consultar.</t>
    </r>
  </si>
  <si>
    <r>
      <t xml:space="preserve">   - Na </t>
    </r>
    <r>
      <rPr>
        <b/>
        <sz val="11"/>
        <color rgb="FF0070C0"/>
        <rFont val="Calibri"/>
        <family val="2"/>
        <scheme val="minor"/>
      </rPr>
      <t>Tabela 09</t>
    </r>
    <r>
      <rPr>
        <sz val="11"/>
        <color rgb="FF0070C0"/>
        <rFont val="Calibri"/>
        <family val="2"/>
        <scheme val="minor"/>
      </rPr>
      <t xml:space="preserve"> a seguir, copie a última linha e a repita até completar os meses da prestação informada.</t>
    </r>
  </si>
  <si>
    <r>
      <t xml:space="preserve">   - No quadro </t>
    </r>
    <r>
      <rPr>
        <b/>
        <sz val="11"/>
        <color rgb="FF0070C0"/>
        <rFont val="Calibri"/>
        <family val="2"/>
        <scheme val="minor"/>
      </rPr>
      <t>Período de 12 meses</t>
    </r>
    <r>
      <rPr>
        <sz val="11"/>
        <color rgb="FF0070C0"/>
        <rFont val="Calibri"/>
        <family val="2"/>
        <scheme val="minor"/>
      </rPr>
      <t xml:space="preserve"> informe qual é o período que VOCÊ quer consultar.</t>
    </r>
  </si>
  <si>
    <r>
      <t xml:space="preserve">Para uma análise mais detalhada e completa consulte as demais planilhas disponíveis no site </t>
    </r>
    <r>
      <rPr>
        <b/>
        <sz val="11"/>
        <color theme="1"/>
        <rFont val="Calibri"/>
        <family val="2"/>
        <scheme val="minor"/>
      </rPr>
      <t>Os Juros sobre Juros da Tabela Price</t>
    </r>
    <r>
      <rPr>
        <sz val="11"/>
        <color theme="1"/>
        <rFont val="Calibri"/>
        <family val="2"/>
        <scheme val="minor"/>
      </rPr>
      <t>,</t>
    </r>
  </si>
  <si>
    <r>
      <t xml:space="preserve">• </t>
    </r>
    <r>
      <rPr>
        <b/>
        <sz val="11"/>
        <color theme="1"/>
        <rFont val="Calibri"/>
        <family val="2"/>
        <scheme val="minor"/>
      </rPr>
      <t>Os juros sobre juros e o duodécuplo - Sistema Price x Sistema Linear</t>
    </r>
    <r>
      <rPr>
        <sz val="11"/>
        <color theme="1"/>
        <rFont val="Calibri"/>
        <family val="2"/>
        <scheme val="minor"/>
      </rPr>
      <t xml:space="preserve"> é um conjunto de artigo + planilha, com informações mais detalhadas.</t>
    </r>
  </si>
  <si>
    <t xml:space="preserve">   Compara uma operação de financiamento sob juros compostos (Tabela Price) com a mesma operação sob juros lineares (Sistema Linear).</t>
  </si>
  <si>
    <t>1) Os juros sobre juros da Tabela Price e o duodécuplo em SEU contrato - Diagnóstico rápido</t>
  </si>
  <si>
    <r>
      <t xml:space="preserve">• Esta planilha, </t>
    </r>
    <r>
      <rPr>
        <b/>
        <sz val="11"/>
        <color theme="1"/>
        <rFont val="Calibri"/>
        <family val="2"/>
        <scheme val="minor"/>
      </rPr>
      <t>Juros sobre juros da Tabela Price e duodécuplo em SEU contrato - Diagnóstico rápido</t>
    </r>
    <r>
      <rPr>
        <sz val="11"/>
        <color theme="1"/>
        <rFont val="Calibri"/>
        <family val="2"/>
        <scheme val="minor"/>
      </rPr>
      <t xml:space="preserve">, é destinada a pessoas que tem </t>
    </r>
  </si>
  <si>
    <t>O contrato como "réu confesso"</t>
  </si>
  <si>
    <t xml:space="preserve">• Mesmo que SEU contrato não tenha estas taxas anuais como cláusulas contratuais explícitas, a simples apuração delas por perito contábil e a constatação </t>
  </si>
  <si>
    <t xml:space="preserve">   de que a taxa anual efetiva é maior do que o duodécuplo da taxa mensal (ou, o que é a mesma coisa, que é maior do que a taxa anual nominal) são prova irrefutável de </t>
  </si>
  <si>
    <t xml:space="preserve">   que neste contrato o mutuário paga juros sobre juros.</t>
  </si>
  <si>
    <t>• Se, além disso, o contrato tiver estas taxas como cláusulas contratuais explícitas e a taxa anual efetiva for maior do que a taxa anual nominal (ou seja, maior do que o</t>
  </si>
  <si>
    <t xml:space="preserve">   duodécuplo da taxa mensal) isto por si só torna o contrato uma espécie de "réu confesso": o contrato "confessa" que o mutuário está pagando juros sobre juros.</t>
  </si>
  <si>
    <t>A periodicidade exata</t>
  </si>
  <si>
    <t>Atualizado em 23.09.2022</t>
  </si>
  <si>
    <t xml:space="preserve">   adv.angelomarcelogasperini@gmail.com</t>
  </si>
  <si>
    <r>
      <t xml:space="preserve">   A forma detalhada está exposta na </t>
    </r>
    <r>
      <rPr>
        <b/>
        <sz val="11"/>
        <color theme="1"/>
        <rFont val="Calibri"/>
        <family val="2"/>
        <scheme val="minor"/>
      </rPr>
      <t>Tabela 09</t>
    </r>
    <r>
      <rPr>
        <sz val="11"/>
        <color theme="1"/>
        <rFont val="Calibri"/>
        <family val="2"/>
        <scheme val="minor"/>
      </rPr>
      <t xml:space="preserve"> da planilha </t>
    </r>
    <r>
      <rPr>
        <b/>
        <sz val="11"/>
        <color theme="1"/>
        <rFont val="Calibri"/>
        <family val="2"/>
        <scheme val="minor"/>
      </rPr>
      <t>Duodécuplo - Os erros do Recurso Especial Repetitivo 973.827 RS - planilha.xlsx</t>
    </r>
    <r>
      <rPr>
        <sz val="11"/>
        <color theme="1"/>
        <rFont val="Calibri"/>
        <family val="2"/>
        <scheme val="minor"/>
      </rPr>
      <t>,</t>
    </r>
  </si>
  <si>
    <r>
      <t xml:space="preserve">   disponível no site </t>
    </r>
    <r>
      <rPr>
        <b/>
        <sz val="11"/>
        <color theme="1"/>
        <rFont val="Calibri"/>
        <family val="2"/>
        <scheme val="minor"/>
      </rPr>
      <t>Os Juros sobre Juros da Tabela Price</t>
    </r>
    <r>
      <rPr>
        <sz val="11"/>
        <color theme="1"/>
        <rFont val="Calibri"/>
        <family val="2"/>
        <scheme val="minor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</si>
</sst>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R$-416]\ #,##0.00"/>
    <numFmt numFmtId="165" formatCode="0.0000%"/>
    <numFmt numFmtId="166" formatCode="[$R$-416]\ #,##0.0000"/>
  </numFmts>
  <fonts count="31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4"/>
      <color theme="3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5"/>
      <color rgb="FF0070C0"/>
      <name val="Calibri"/>
      <family val="2"/>
      <scheme val="minor"/>
    </font>
    <font>
      <vertAlign val="superscript"/>
      <sz val="11"/>
      <color rgb="FF0070C0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u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3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u/>
      <sz val="13"/>
      <name val="Calibri"/>
      <family val="2"/>
      <scheme val="minor"/>
    </font>
    <font>
      <sz val="13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/>
      <right/>
      <top/>
      <bottom style="medium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/>
      <top style="thin">
        <color theme="0" tint="-0.499984740745262"/>
      </top>
      <bottom style="medium">
        <color rgb="FF0070C0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medium">
        <color rgb="FF0070C0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medium">
        <color rgb="FF0070C0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rgb="FF0070C0"/>
      </bottom>
      <diagonal/>
    </border>
    <border>
      <left/>
      <right/>
      <top style="thin">
        <color theme="0" tint="-0.34998626667073579"/>
      </top>
      <bottom style="medium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 style="thin">
        <color theme="0" tint="-0.34998626667073579"/>
      </right>
      <top/>
      <bottom style="medium">
        <color rgb="FF0070C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rgb="FF0070C0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rgb="FF0070C0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rgb="FF0070C0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499984740745262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499984740745262"/>
      </top>
      <bottom style="thin">
        <color theme="0" tint="-0.24994659260841701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</borders>
  <cellStyleXfs count="6">
    <xf numFmtId="0" fontId="0" fillId="0" borderId="0"/>
    <xf numFmtId="0" fontId="17" fillId="0" borderId="0" applyNumberFormat="0" applyFill="0" applyProtection="0">
      <alignment horizontal="left" vertical="center"/>
    </xf>
    <xf numFmtId="0" fontId="2" fillId="0" borderId="0" applyNumberFormat="0" applyFill="0" applyProtection="0">
      <alignment horizontal="left" vertical="center"/>
    </xf>
    <xf numFmtId="0" fontId="27" fillId="0" borderId="0">
      <alignment horizontal="left" vertical="center"/>
    </xf>
    <xf numFmtId="0" fontId="25" fillId="0" borderId="0">
      <alignment horizontal="left" vertical="center"/>
    </xf>
    <xf numFmtId="0" fontId="29" fillId="0" borderId="0" applyNumberFormat="0" applyFill="0" applyBorder="0" applyAlignment="0" applyProtection="0"/>
  </cellStyleXfs>
  <cellXfs count="237">
    <xf numFmtId="0" fontId="0" fillId="0" borderId="0" xfId="0"/>
    <xf numFmtId="166" fontId="0" fillId="0" borderId="0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Protection="1"/>
    <xf numFmtId="166" fontId="0" fillId="0" borderId="1" xfId="0" applyNumberFormat="1" applyBorder="1" applyAlignment="1" applyProtection="1">
      <alignment horizontal="center"/>
    </xf>
    <xf numFmtId="0" fontId="0" fillId="0" borderId="1" xfId="0" applyNumberFormat="1" applyBorder="1" applyAlignment="1" applyProtection="1">
      <alignment horizontal="center"/>
    </xf>
    <xf numFmtId="165" fontId="0" fillId="0" borderId="1" xfId="0" applyNumberFormat="1" applyBorder="1" applyAlignment="1" applyProtection="1">
      <alignment horizontal="center"/>
    </xf>
    <xf numFmtId="3" fontId="0" fillId="0" borderId="1" xfId="0" applyNumberFormat="1" applyBorder="1" applyAlignment="1" applyProtection="1">
      <alignment horizontal="center"/>
    </xf>
    <xf numFmtId="0" fontId="3" fillId="0" borderId="0" xfId="0" applyFont="1" applyProtection="1"/>
    <xf numFmtId="0" fontId="0" fillId="0" borderId="0" xfId="0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164" fontId="4" fillId="0" borderId="1" xfId="0" applyNumberFormat="1" applyFont="1" applyBorder="1" applyAlignment="1" applyProtection="1">
      <alignment horizontal="center"/>
      <protection locked="0"/>
    </xf>
    <xf numFmtId="10" fontId="0" fillId="0" borderId="1" xfId="0" applyNumberFormat="1" applyFill="1" applyBorder="1" applyAlignment="1" applyProtection="1">
      <alignment horizontal="center"/>
      <protection locked="0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165" fontId="0" fillId="0" borderId="0" xfId="0" applyNumberFormat="1" applyAlignment="1" applyProtection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20" xfId="0" applyBorder="1" applyAlignment="1" applyProtection="1">
      <alignment horizontal="left" vertical="center"/>
    </xf>
    <xf numFmtId="0" fontId="0" fillId="0" borderId="21" xfId="0" applyBorder="1" applyAlignment="1" applyProtection="1">
      <alignment vertical="center"/>
    </xf>
    <xf numFmtId="0" fontId="13" fillId="0" borderId="20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vertical="center"/>
    </xf>
    <xf numFmtId="0" fontId="14" fillId="0" borderId="25" xfId="0" applyFont="1" applyFill="1" applyBorder="1" applyAlignment="1" applyProtection="1">
      <alignment horizontal="center" vertical="center" wrapText="1"/>
    </xf>
    <xf numFmtId="166" fontId="0" fillId="4" borderId="1" xfId="0" applyNumberFormat="1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165" fontId="0" fillId="3" borderId="1" xfId="0" applyNumberFormat="1" applyFill="1" applyBorder="1" applyAlignment="1">
      <alignment horizontal="right" indent="1"/>
    </xf>
    <xf numFmtId="0" fontId="14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1" fontId="0" fillId="3" borderId="1" xfId="0" applyNumberFormat="1" applyFill="1" applyBorder="1" applyAlignment="1">
      <alignment horizontal="center"/>
    </xf>
    <xf numFmtId="0" fontId="0" fillId="0" borderId="0" xfId="0" applyFill="1" applyAlignment="1" applyProtection="1">
      <alignment vertical="center"/>
    </xf>
    <xf numFmtId="0" fontId="2" fillId="0" borderId="0" xfId="0" applyFont="1" applyAlignment="1">
      <alignment vertical="center"/>
    </xf>
    <xf numFmtId="0" fontId="13" fillId="0" borderId="2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0" borderId="1" xfId="0" applyNumberForma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18" fillId="0" borderId="0" xfId="0" applyFont="1" applyAlignment="1" applyProtection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12" fillId="2" borderId="1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 applyProtection="1">
      <alignment vertical="center"/>
    </xf>
    <xf numFmtId="0" fontId="0" fillId="0" borderId="0" xfId="0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center" vertical="center"/>
    </xf>
    <xf numFmtId="165" fontId="0" fillId="0" borderId="0" xfId="0" applyNumberFormat="1" applyBorder="1" applyAlignment="1" applyProtection="1">
      <alignment horizontal="right" vertical="center"/>
    </xf>
    <xf numFmtId="166" fontId="0" fillId="0" borderId="1" xfId="0" applyNumberFormat="1" applyBorder="1" applyAlignment="1" applyProtection="1">
      <alignment horizontal="center" vertical="center"/>
    </xf>
    <xf numFmtId="164" fontId="0" fillId="0" borderId="1" xfId="0" applyNumberFormat="1" applyBorder="1" applyAlignment="1" applyProtection="1">
      <alignment horizontal="center" vertical="center"/>
    </xf>
    <xf numFmtId="164" fontId="4" fillId="0" borderId="0" xfId="0" applyNumberFormat="1" applyFont="1" applyBorder="1" applyAlignment="1" applyProtection="1">
      <alignment horizontal="center" vertical="center"/>
    </xf>
    <xf numFmtId="164" fontId="0" fillId="0" borderId="0" xfId="0" applyNumberForma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 wrapText="1"/>
    </xf>
    <xf numFmtId="166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11" fillId="0" borderId="0" xfId="0" applyFont="1" applyAlignment="1">
      <alignment vertical="center"/>
    </xf>
    <xf numFmtId="10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3" fillId="0" borderId="0" xfId="0" applyFont="1" applyFill="1" applyAlignment="1" applyProtection="1">
      <alignment vertical="center"/>
    </xf>
    <xf numFmtId="164" fontId="20" fillId="0" borderId="17" xfId="0" applyNumberFormat="1" applyFont="1" applyBorder="1" applyAlignment="1" applyProtection="1">
      <alignment horizontal="left" vertical="center"/>
    </xf>
    <xf numFmtId="0" fontId="0" fillId="0" borderId="18" xfId="0" applyBorder="1" applyAlignment="1" applyProtection="1">
      <alignment vertical="center"/>
    </xf>
    <xf numFmtId="0" fontId="0" fillId="0" borderId="19" xfId="0" applyBorder="1" applyAlignment="1" applyProtection="1">
      <alignment vertical="center"/>
    </xf>
    <xf numFmtId="0" fontId="13" fillId="0" borderId="20" xfId="0" applyFont="1" applyBorder="1" applyAlignment="1" applyProtection="1">
      <alignment vertical="center"/>
    </xf>
    <xf numFmtId="0" fontId="14" fillId="0" borderId="20" xfId="0" applyFont="1" applyBorder="1" applyAlignment="1" applyProtection="1">
      <alignment horizontal="left" vertical="center"/>
    </xf>
    <xf numFmtId="0" fontId="0" fillId="0" borderId="20" xfId="0" applyBorder="1" applyAlignment="1" applyProtection="1">
      <alignment vertical="center"/>
    </xf>
    <xf numFmtId="0" fontId="0" fillId="0" borderId="29" xfId="0" applyBorder="1" applyAlignment="1" applyProtection="1">
      <alignment vertical="center"/>
    </xf>
    <xf numFmtId="0" fontId="0" fillId="0" borderId="22" xfId="0" applyBorder="1" applyAlignment="1" applyProtection="1">
      <alignment vertical="center"/>
    </xf>
    <xf numFmtId="0" fontId="0" fillId="0" borderId="30" xfId="0" applyBorder="1" applyAlignment="1" applyProtection="1">
      <alignment vertical="center"/>
    </xf>
    <xf numFmtId="164" fontId="14" fillId="0" borderId="1" xfId="0" applyNumberFormat="1" applyFont="1" applyBorder="1" applyAlignment="1" applyProtection="1">
      <alignment horizontal="right" vertical="center" indent="1"/>
      <protection locked="0"/>
    </xf>
    <xf numFmtId="165" fontId="14" fillId="0" borderId="1" xfId="0" applyNumberFormat="1" applyFont="1" applyBorder="1" applyAlignment="1" applyProtection="1">
      <alignment horizontal="right" vertical="center" indent="1"/>
      <protection locked="0"/>
    </xf>
    <xf numFmtId="0" fontId="14" fillId="0" borderId="1" xfId="0" applyFont="1" applyBorder="1" applyAlignment="1" applyProtection="1">
      <alignment horizontal="right" vertical="center" indent="1"/>
      <protection locked="0"/>
    </xf>
    <xf numFmtId="164" fontId="13" fillId="0" borderId="1" xfId="0" applyNumberFormat="1" applyFont="1" applyBorder="1" applyAlignment="1" applyProtection="1">
      <alignment horizontal="right" vertical="center" indent="1"/>
    </xf>
    <xf numFmtId="166" fontId="13" fillId="0" borderId="8" xfId="0" applyNumberFormat="1" applyFont="1" applyBorder="1" applyAlignment="1" applyProtection="1">
      <alignment horizontal="right" vertical="center" indent="1"/>
    </xf>
    <xf numFmtId="0" fontId="13" fillId="0" borderId="1" xfId="0" applyFont="1" applyBorder="1" applyAlignment="1" applyProtection="1">
      <alignment horizontal="left" vertical="center" indent="1"/>
    </xf>
    <xf numFmtId="166" fontId="0" fillId="0" borderId="0" xfId="0" applyNumberFormat="1" applyAlignment="1" applyProtection="1">
      <alignment vertical="center"/>
    </xf>
    <xf numFmtId="164" fontId="0" fillId="0" borderId="0" xfId="0" applyNumberFormat="1" applyAlignment="1" applyProtection="1">
      <alignment vertical="center"/>
    </xf>
    <xf numFmtId="0" fontId="0" fillId="0" borderId="0" xfId="0" applyFont="1" applyBorder="1" applyAlignment="1" applyProtection="1">
      <alignment horizontal="left" vertical="center" wrapText="1"/>
    </xf>
    <xf numFmtId="165" fontId="0" fillId="0" borderId="0" xfId="0" applyNumberFormat="1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165" fontId="13" fillId="0" borderId="1" xfId="0" applyNumberFormat="1" applyFont="1" applyBorder="1" applyAlignment="1" applyProtection="1">
      <alignment horizontal="right" vertical="center" indent="1"/>
    </xf>
    <xf numFmtId="165" fontId="13" fillId="0" borderId="8" xfId="0" applyNumberFormat="1" applyFont="1" applyBorder="1" applyAlignment="1" applyProtection="1">
      <alignment horizontal="right" vertical="center" indent="1"/>
    </xf>
    <xf numFmtId="166" fontId="0" fillId="0" borderId="0" xfId="0" applyNumberFormat="1" applyBorder="1" applyAlignment="1" applyProtection="1">
      <alignment horizontal="right" vertical="center"/>
    </xf>
    <xf numFmtId="164" fontId="0" fillId="0" borderId="0" xfId="0" applyNumberFormat="1" applyBorder="1" applyAlignment="1" applyProtection="1">
      <alignment horizontal="right" vertical="center"/>
    </xf>
    <xf numFmtId="0" fontId="5" fillId="0" borderId="0" xfId="0" applyFont="1" applyAlignment="1" applyProtection="1">
      <alignment vertical="center"/>
    </xf>
    <xf numFmtId="49" fontId="4" fillId="0" borderId="0" xfId="0" applyNumberFormat="1" applyFont="1" applyBorder="1" applyAlignment="1" applyProtection="1">
      <alignment horizontal="center" vertical="center"/>
    </xf>
    <xf numFmtId="164" fontId="15" fillId="0" borderId="17" xfId="0" applyNumberFormat="1" applyFont="1" applyBorder="1" applyAlignment="1" applyProtection="1">
      <alignment horizontal="left" vertical="center"/>
    </xf>
    <xf numFmtId="164" fontId="10" fillId="0" borderId="18" xfId="0" applyNumberFormat="1" applyFont="1" applyBorder="1" applyAlignment="1" applyProtection="1">
      <alignment horizontal="center" vertical="center"/>
    </xf>
    <xf numFmtId="10" fontId="0" fillId="0" borderId="18" xfId="0" applyNumberFormat="1" applyFill="1" applyBorder="1" applyAlignment="1" applyProtection="1">
      <alignment horizontal="center" vertical="center"/>
    </xf>
    <xf numFmtId="164" fontId="4" fillId="0" borderId="18" xfId="0" applyNumberFormat="1" applyFont="1" applyBorder="1" applyAlignment="1" applyProtection="1">
      <alignment horizontal="center" vertical="center"/>
    </xf>
    <xf numFmtId="164" fontId="13" fillId="0" borderId="20" xfId="0" applyNumberFormat="1" applyFont="1" applyBorder="1" applyAlignment="1" applyProtection="1">
      <alignment horizontal="left" vertical="center"/>
    </xf>
    <xf numFmtId="164" fontId="10" fillId="0" borderId="0" xfId="0" applyNumberFormat="1" applyFont="1" applyBorder="1" applyAlignment="1" applyProtection="1">
      <alignment horizontal="center" vertical="center"/>
    </xf>
    <xf numFmtId="10" fontId="0" fillId="0" borderId="0" xfId="0" applyNumberForma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center"/>
    </xf>
    <xf numFmtId="0" fontId="14" fillId="0" borderId="24" xfId="0" applyFont="1" applyBorder="1" applyAlignment="1" applyProtection="1">
      <alignment horizontal="center" vertical="center"/>
    </xf>
    <xf numFmtId="0" fontId="14" fillId="0" borderId="25" xfId="0" applyFont="1" applyBorder="1" applyAlignment="1" applyProtection="1">
      <alignment horizontal="center" vertical="center"/>
    </xf>
    <xf numFmtId="0" fontId="14" fillId="0" borderId="28" xfId="0" applyFont="1" applyBorder="1" applyAlignment="1" applyProtection="1">
      <alignment horizontal="center" vertical="center"/>
    </xf>
    <xf numFmtId="164" fontId="13" fillId="0" borderId="23" xfId="0" applyNumberFormat="1" applyFont="1" applyBorder="1" applyAlignment="1" applyProtection="1">
      <alignment horizontal="center" vertical="center"/>
    </xf>
    <xf numFmtId="164" fontId="13" fillId="0" borderId="26" xfId="0" applyNumberFormat="1" applyFont="1" applyBorder="1" applyAlignment="1" applyProtection="1">
      <alignment horizontal="center" vertical="center"/>
    </xf>
    <xf numFmtId="0" fontId="13" fillId="0" borderId="22" xfId="0" applyFont="1" applyBorder="1" applyAlignment="1" applyProtection="1">
      <alignment vertical="center"/>
    </xf>
    <xf numFmtId="164" fontId="13" fillId="0" borderId="27" xfId="0" applyNumberFormat="1" applyFont="1" applyBorder="1" applyAlignment="1" applyProtection="1">
      <alignment horizontal="center" vertical="center"/>
    </xf>
    <xf numFmtId="0" fontId="21" fillId="0" borderId="0" xfId="0" applyFont="1" applyAlignment="1" applyProtection="1">
      <alignment vertical="center"/>
    </xf>
    <xf numFmtId="0" fontId="0" fillId="0" borderId="0" xfId="0" applyBorder="1" applyAlignment="1" applyProtection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Fill="1" applyBorder="1" applyAlignment="1">
      <alignment horizontal="left" vertical="center" indent="1"/>
    </xf>
    <xf numFmtId="165" fontId="4" fillId="0" borderId="0" xfId="0" applyNumberFormat="1" applyFont="1" applyBorder="1" applyAlignment="1">
      <alignment horizontal="right" vertical="center"/>
    </xf>
    <xf numFmtId="166" fontId="4" fillId="0" borderId="1" xfId="0" applyNumberFormat="1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165" fontId="0" fillId="0" borderId="0" xfId="0" applyNumberFormat="1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166" fontId="4" fillId="0" borderId="1" xfId="0" applyNumberFormat="1" applyFont="1" applyBorder="1" applyAlignment="1">
      <alignment horizontal="left" vertical="center" indent="1"/>
    </xf>
    <xf numFmtId="0" fontId="1" fillId="0" borderId="0" xfId="0" applyFont="1" applyBorder="1" applyAlignment="1" applyProtection="1">
      <alignment horizontal="left" vertical="center"/>
    </xf>
    <xf numFmtId="0" fontId="13" fillId="0" borderId="25" xfId="0" applyFont="1" applyBorder="1" applyAlignment="1" applyProtection="1">
      <alignment horizontal="center" vertical="center" wrapText="1"/>
      <protection locked="0"/>
    </xf>
    <xf numFmtId="0" fontId="0" fillId="0" borderId="39" xfId="0" applyBorder="1" applyAlignment="1">
      <alignment vertical="center"/>
    </xf>
    <xf numFmtId="166" fontId="4" fillId="0" borderId="1" xfId="0" applyNumberFormat="1" applyFont="1" applyBorder="1" applyAlignment="1" applyProtection="1">
      <alignment horizontal="center" vertical="center"/>
      <protection locked="0"/>
    </xf>
    <xf numFmtId="166" fontId="13" fillId="0" borderId="26" xfId="0" applyNumberFormat="1" applyFont="1" applyBorder="1" applyAlignment="1" applyProtection="1">
      <alignment horizontal="center" vertical="center"/>
    </xf>
    <xf numFmtId="0" fontId="0" fillId="0" borderId="22" xfId="0" applyBorder="1" applyAlignment="1">
      <alignment vertical="center"/>
    </xf>
    <xf numFmtId="0" fontId="23" fillId="0" borderId="0" xfId="0" applyFont="1" applyAlignment="1">
      <alignment vertical="center"/>
    </xf>
    <xf numFmtId="164" fontId="2" fillId="0" borderId="1" xfId="0" applyNumberFormat="1" applyFont="1" applyBorder="1" applyAlignment="1" applyProtection="1">
      <alignment horizontal="center" vertical="center"/>
    </xf>
    <xf numFmtId="0" fontId="21" fillId="0" borderId="0" xfId="0" applyFont="1" applyAlignment="1">
      <alignment horizontal="left" vertical="center"/>
    </xf>
    <xf numFmtId="164" fontId="13" fillId="0" borderId="7" xfId="0" applyNumberFormat="1" applyFont="1" applyBorder="1" applyAlignment="1" applyProtection="1">
      <alignment vertical="center"/>
    </xf>
    <xf numFmtId="0" fontId="14" fillId="0" borderId="44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164" fontId="13" fillId="0" borderId="45" xfId="0" applyNumberFormat="1" applyFont="1" applyBorder="1" applyAlignment="1" applyProtection="1">
      <alignment vertical="center"/>
    </xf>
    <xf numFmtId="0" fontId="0" fillId="0" borderId="0" xfId="0" applyAlignment="1">
      <alignment horizontal="center"/>
    </xf>
    <xf numFmtId="0" fontId="17" fillId="0" borderId="0" xfId="1">
      <alignment horizontal="left" vertical="center"/>
    </xf>
    <xf numFmtId="0" fontId="2" fillId="0" borderId="0" xfId="2">
      <alignment horizontal="left" vertical="center"/>
    </xf>
    <xf numFmtId="0" fontId="16" fillId="0" borderId="0" xfId="2" applyFont="1">
      <alignment horizontal="left" vertical="center"/>
    </xf>
    <xf numFmtId="0" fontId="27" fillId="0" borderId="0" xfId="3">
      <alignment horizontal="left" vertical="center"/>
    </xf>
    <xf numFmtId="0" fontId="24" fillId="0" borderId="0" xfId="3" applyFont="1">
      <alignment horizontal="left" vertical="center"/>
    </xf>
    <xf numFmtId="0" fontId="25" fillId="0" borderId="0" xfId="4">
      <alignment horizontal="left" vertical="center"/>
    </xf>
    <xf numFmtId="0" fontId="26" fillId="0" borderId="0" xfId="4" applyFont="1">
      <alignment horizontal="left" vertical="center"/>
    </xf>
    <xf numFmtId="0" fontId="26" fillId="0" borderId="20" xfId="4" applyFont="1" applyBorder="1">
      <alignment horizontal="left" vertical="center"/>
    </xf>
    <xf numFmtId="0" fontId="2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4" fontId="4" fillId="0" borderId="20" xfId="0" applyNumberFormat="1" applyFont="1" applyBorder="1" applyAlignment="1" applyProtection="1">
      <alignment horizontal="center" vertical="center"/>
    </xf>
    <xf numFmtId="0" fontId="0" fillId="0" borderId="2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 applyProtection="1">
      <alignment horizontal="center" vertical="center"/>
    </xf>
    <xf numFmtId="0" fontId="0" fillId="0" borderId="0" xfId="0" applyFill="1" applyProtection="1"/>
    <xf numFmtId="0" fontId="27" fillId="0" borderId="0" xfId="3" applyAlignment="1">
      <alignment horizontal="left" vertical="center"/>
    </xf>
    <xf numFmtId="0" fontId="29" fillId="0" borderId="0" xfId="5" applyAlignment="1" applyProtection="1">
      <alignment vertical="center"/>
    </xf>
    <xf numFmtId="0" fontId="29" fillId="0" borderId="0" xfId="5" applyBorder="1" applyAlignment="1" applyProtection="1">
      <alignment vertical="center"/>
    </xf>
    <xf numFmtId="0" fontId="29" fillId="0" borderId="0" xfId="5"/>
    <xf numFmtId="166" fontId="0" fillId="5" borderId="1" xfId="0" applyNumberFormat="1" applyFill="1" applyBorder="1" applyAlignment="1">
      <alignment horizontal="center"/>
    </xf>
    <xf numFmtId="166" fontId="0" fillId="5" borderId="1" xfId="0" applyNumberForma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46" xfId="0" applyBorder="1"/>
    <xf numFmtId="0" fontId="4" fillId="0" borderId="46" xfId="0" applyFont="1" applyBorder="1" applyAlignment="1">
      <alignment horizontal="center" vertical="center"/>
    </xf>
    <xf numFmtId="0" fontId="0" fillId="0" borderId="4" xfId="0" applyBorder="1"/>
    <xf numFmtId="0" fontId="0" fillId="0" borderId="0" xfId="0" applyBorder="1"/>
    <xf numFmtId="0" fontId="0" fillId="0" borderId="47" xfId="0" applyBorder="1" applyAlignment="1">
      <alignment horizontal="left" indent="1"/>
    </xf>
    <xf numFmtId="0" fontId="0" fillId="0" borderId="45" xfId="0" applyBorder="1"/>
    <xf numFmtId="0" fontId="0" fillId="0" borderId="47" xfId="0" applyBorder="1"/>
    <xf numFmtId="0" fontId="0" fillId="0" borderId="44" xfId="0" applyBorder="1"/>
    <xf numFmtId="0" fontId="4" fillId="0" borderId="6" xfId="0" applyFont="1" applyBorder="1" applyAlignment="1">
      <alignment horizontal="left" indent="1"/>
    </xf>
    <xf numFmtId="0" fontId="29" fillId="0" borderId="0" xfId="5" applyAlignment="1">
      <alignment vertical="center"/>
    </xf>
    <xf numFmtId="0" fontId="0" fillId="0" borderId="1" xfId="0" applyNumberFormat="1" applyBorder="1" applyAlignment="1" applyProtection="1">
      <alignment horizontal="center" vertic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30" fillId="0" borderId="0" xfId="0" applyFont="1"/>
    <xf numFmtId="0" fontId="0" fillId="0" borderId="9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left" vertical="center" wrapText="1"/>
    </xf>
    <xf numFmtId="0" fontId="0" fillId="0" borderId="42" xfId="0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left" vertical="center"/>
    </xf>
    <xf numFmtId="0" fontId="13" fillId="0" borderId="2" xfId="0" applyFont="1" applyBorder="1" applyAlignment="1" applyProtection="1">
      <alignment horizontal="left" vertical="center"/>
    </xf>
    <xf numFmtId="0" fontId="13" fillId="0" borderId="45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left" vertical="center" indent="1"/>
    </xf>
    <xf numFmtId="0" fontId="13" fillId="0" borderId="9" xfId="0" applyFont="1" applyBorder="1" applyAlignment="1" applyProtection="1">
      <alignment horizontal="left" vertical="center" indent="1"/>
    </xf>
    <xf numFmtId="0" fontId="13" fillId="0" borderId="10" xfId="0" applyFont="1" applyBorder="1" applyAlignment="1" applyProtection="1">
      <alignment horizontal="left" vertical="center" indent="1"/>
    </xf>
    <xf numFmtId="0" fontId="0" fillId="0" borderId="1" xfId="0" applyBorder="1" applyAlignment="1" applyProtection="1">
      <alignment horizontal="left" vertical="center" wrapText="1"/>
    </xf>
    <xf numFmtId="0" fontId="13" fillId="0" borderId="1" xfId="0" applyFont="1" applyBorder="1" applyAlignment="1" applyProtection="1">
      <alignment horizontal="left" vertical="center"/>
    </xf>
    <xf numFmtId="0" fontId="0" fillId="0" borderId="1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13" fillId="0" borderId="8" xfId="0" applyFont="1" applyBorder="1" applyAlignment="1" applyProtection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37" xfId="0" applyFont="1" applyBorder="1" applyAlignment="1" applyProtection="1">
      <alignment horizontal="center" vertical="center"/>
    </xf>
    <xf numFmtId="0" fontId="14" fillId="0" borderId="36" xfId="0" applyFont="1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6">
    <cellStyle name="Hiperlink" xfId="5" builtinId="8"/>
    <cellStyle name="Normal" xfId="0" builtinId="0"/>
    <cellStyle name="Sublinhado" xfId="3"/>
    <cellStyle name="Título 1" xfId="1" builtinId="16" customBuiltin="1"/>
    <cellStyle name="Título 2" xfId="2" builtinId="17" customBuiltin="1"/>
    <cellStyle name="TítuloTabela" xfId="4"/>
  </cellStyles>
  <dxfs count="8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</font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jpeg"/><Relationship Id="rId13" Type="http://schemas.openxmlformats.org/officeDocument/2006/relationships/image" Target="../media/image15.jpeg"/><Relationship Id="rId3" Type="http://schemas.openxmlformats.org/officeDocument/2006/relationships/image" Target="../media/image5.jpeg"/><Relationship Id="rId7" Type="http://schemas.openxmlformats.org/officeDocument/2006/relationships/image" Target="../media/image9.jpeg"/><Relationship Id="rId12" Type="http://schemas.openxmlformats.org/officeDocument/2006/relationships/image" Target="../media/image14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6" Type="http://schemas.openxmlformats.org/officeDocument/2006/relationships/image" Target="../media/image8.jpeg"/><Relationship Id="rId11" Type="http://schemas.openxmlformats.org/officeDocument/2006/relationships/image" Target="../media/image13.jpeg"/><Relationship Id="rId5" Type="http://schemas.openxmlformats.org/officeDocument/2006/relationships/image" Target="../media/image7.jpeg"/><Relationship Id="rId10" Type="http://schemas.openxmlformats.org/officeDocument/2006/relationships/image" Target="../media/image12.jpeg"/><Relationship Id="rId4" Type="http://schemas.openxmlformats.org/officeDocument/2006/relationships/image" Target="../media/image6.jpeg"/><Relationship Id="rId9" Type="http://schemas.openxmlformats.org/officeDocument/2006/relationships/image" Target="../media/image11.jpeg"/><Relationship Id="rId14" Type="http://schemas.openxmlformats.org/officeDocument/2006/relationships/image" Target="../media/image1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297656</xdr:colOff>
      <xdr:row>120</xdr:row>
      <xdr:rowOff>47624</xdr:rowOff>
    </xdr:from>
    <xdr:to>
      <xdr:col>7</xdr:col>
      <xdr:colOff>536560</xdr:colOff>
      <xdr:row>121</xdr:row>
      <xdr:rowOff>83343</xdr:rowOff>
    </xdr:to>
    <xdr:pic>
      <xdr:nvPicPr>
        <xdr:cNvPr id="11" name="Imagem 10"/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9062" y="29027437"/>
          <a:ext cx="238904" cy="226219"/>
        </a:xfrm>
        <a:prstGeom prst="rect">
          <a:avLst/>
        </a:prstGeom>
        <a:solidFill>
          <a:srgbClr val="FF0000"/>
        </a:solidFill>
        <a:ln>
          <a:noFill/>
        </a:ln>
      </xdr:spPr>
    </xdr:pic>
    <xdr:clientData/>
  </xdr:twoCellAnchor>
  <xdr:twoCellAnchor>
    <xdr:from>
      <xdr:col>9</xdr:col>
      <xdr:colOff>416719</xdr:colOff>
      <xdr:row>120</xdr:row>
      <xdr:rowOff>71436</xdr:rowOff>
    </xdr:from>
    <xdr:to>
      <xdr:col>9</xdr:col>
      <xdr:colOff>689471</xdr:colOff>
      <xdr:row>121</xdr:row>
      <xdr:rowOff>83343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60844" y="22931436"/>
          <a:ext cx="272752" cy="261938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250031</xdr:colOff>
      <xdr:row>20</xdr:row>
      <xdr:rowOff>333375</xdr:rowOff>
    </xdr:from>
    <xdr:to>
      <xdr:col>8</xdr:col>
      <xdr:colOff>535781</xdr:colOff>
      <xdr:row>21</xdr:row>
      <xdr:rowOff>140615</xdr:rowOff>
    </xdr:to>
    <xdr:pic>
      <xdr:nvPicPr>
        <xdr:cNvPr id="16" name="Imagem 1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9625" y="17835563"/>
          <a:ext cx="285750" cy="212052"/>
        </a:xfrm>
        <a:prstGeom prst="rect">
          <a:avLst/>
        </a:prstGeom>
      </xdr:spPr>
    </xdr:pic>
    <xdr:clientData/>
  </xdr:twoCellAnchor>
  <xdr:twoCellAnchor>
    <xdr:from>
      <xdr:col>11</xdr:col>
      <xdr:colOff>273844</xdr:colOff>
      <xdr:row>20</xdr:row>
      <xdr:rowOff>261936</xdr:rowOff>
    </xdr:from>
    <xdr:to>
      <xdr:col>11</xdr:col>
      <xdr:colOff>600767</xdr:colOff>
      <xdr:row>21</xdr:row>
      <xdr:rowOff>71437</xdr:rowOff>
    </xdr:to>
    <xdr:pic>
      <xdr:nvPicPr>
        <xdr:cNvPr id="17" name="Imagem 1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70532" y="17764124"/>
          <a:ext cx="326923" cy="214313"/>
        </a:xfrm>
        <a:prstGeom prst="rect">
          <a:avLst/>
        </a:prstGeom>
      </xdr:spPr>
    </xdr:pic>
    <xdr:clientData/>
  </xdr:twoCellAnchor>
  <xdr:twoCellAnchor>
    <xdr:from>
      <xdr:col>11</xdr:col>
      <xdr:colOff>345282</xdr:colOff>
      <xdr:row>40</xdr:row>
      <xdr:rowOff>23813</xdr:rowOff>
    </xdr:from>
    <xdr:to>
      <xdr:col>11</xdr:col>
      <xdr:colOff>525778</xdr:colOff>
      <xdr:row>40</xdr:row>
      <xdr:rowOff>166688</xdr:rowOff>
    </xdr:to>
    <xdr:pic>
      <xdr:nvPicPr>
        <xdr:cNvPr id="20" name="Imagem 1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96813" y="7131844"/>
          <a:ext cx="180496" cy="142875"/>
        </a:xfrm>
        <a:prstGeom prst="rect">
          <a:avLst/>
        </a:prstGeom>
      </xdr:spPr>
    </xdr:pic>
    <xdr:clientData/>
  </xdr:twoCellAnchor>
  <xdr:twoCellAnchor>
    <xdr:from>
      <xdr:col>9</xdr:col>
      <xdr:colOff>642938</xdr:colOff>
      <xdr:row>40</xdr:row>
      <xdr:rowOff>23815</xdr:rowOff>
    </xdr:from>
    <xdr:to>
      <xdr:col>9</xdr:col>
      <xdr:colOff>821531</xdr:colOff>
      <xdr:row>41</xdr:row>
      <xdr:rowOff>37100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13157" y="7131846"/>
          <a:ext cx="178593" cy="215692"/>
        </a:xfrm>
        <a:prstGeom prst="rect">
          <a:avLst/>
        </a:prstGeom>
      </xdr:spPr>
    </xdr:pic>
    <xdr:clientData/>
  </xdr:twoCellAnchor>
  <xdr:twoCellAnchor>
    <xdr:from>
      <xdr:col>8</xdr:col>
      <xdr:colOff>297657</xdr:colOff>
      <xdr:row>119</xdr:row>
      <xdr:rowOff>178596</xdr:rowOff>
    </xdr:from>
    <xdr:to>
      <xdr:col>8</xdr:col>
      <xdr:colOff>574284</xdr:colOff>
      <xdr:row>121</xdr:row>
      <xdr:rowOff>59534</xdr:rowOff>
    </xdr:to>
    <xdr:pic>
      <xdr:nvPicPr>
        <xdr:cNvPr id="28" name="Imagem 27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9157" y="85284471"/>
          <a:ext cx="276627" cy="261938"/>
        </a:xfrm>
        <a:prstGeom prst="rect">
          <a:avLst/>
        </a:prstGeom>
      </xdr:spPr>
    </xdr:pic>
    <xdr:clientData/>
  </xdr:twoCellAnchor>
  <xdr:twoCellAnchor>
    <xdr:from>
      <xdr:col>4</xdr:col>
      <xdr:colOff>261938</xdr:colOff>
      <xdr:row>120</xdr:row>
      <xdr:rowOff>11907</xdr:rowOff>
    </xdr:from>
    <xdr:to>
      <xdr:col>4</xdr:col>
      <xdr:colOff>550734</xdr:colOff>
      <xdr:row>121</xdr:row>
      <xdr:rowOff>35720</xdr:rowOff>
    </xdr:to>
    <xdr:pic>
      <xdr:nvPicPr>
        <xdr:cNvPr id="29" name="Imagem 28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2438" y="85308282"/>
          <a:ext cx="288796" cy="214313"/>
        </a:xfrm>
        <a:prstGeom prst="rect">
          <a:avLst/>
        </a:prstGeom>
      </xdr:spPr>
    </xdr:pic>
    <xdr:clientData/>
  </xdr:twoCellAnchor>
  <xdr:twoCellAnchor>
    <xdr:from>
      <xdr:col>13</xdr:col>
      <xdr:colOff>392907</xdr:colOff>
      <xdr:row>46</xdr:row>
      <xdr:rowOff>23814</xdr:rowOff>
    </xdr:from>
    <xdr:to>
      <xdr:col>13</xdr:col>
      <xdr:colOff>560706</xdr:colOff>
      <xdr:row>46</xdr:row>
      <xdr:rowOff>166688</xdr:rowOff>
    </xdr:to>
    <xdr:pic>
      <xdr:nvPicPr>
        <xdr:cNvPr id="26" name="Imagem 25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75720" y="9667877"/>
          <a:ext cx="167799" cy="142874"/>
        </a:xfrm>
        <a:prstGeom prst="rect">
          <a:avLst/>
        </a:prstGeom>
      </xdr:spPr>
    </xdr:pic>
    <xdr:clientData/>
  </xdr:twoCellAnchor>
  <xdr:twoCellAnchor>
    <xdr:from>
      <xdr:col>9</xdr:col>
      <xdr:colOff>690562</xdr:colOff>
      <xdr:row>34</xdr:row>
      <xdr:rowOff>23813</xdr:rowOff>
    </xdr:from>
    <xdr:to>
      <xdr:col>9</xdr:col>
      <xdr:colOff>869155</xdr:colOff>
      <xdr:row>35</xdr:row>
      <xdr:rowOff>37099</xdr:rowOff>
    </xdr:to>
    <xdr:pic>
      <xdr:nvPicPr>
        <xdr:cNvPr id="18" name="Imagem 1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0781" y="8346282"/>
          <a:ext cx="178593" cy="215692"/>
        </a:xfrm>
        <a:prstGeom prst="rect">
          <a:avLst/>
        </a:prstGeom>
      </xdr:spPr>
    </xdr:pic>
    <xdr:clientData/>
  </xdr:twoCellAnchor>
  <xdr:twoCellAnchor>
    <xdr:from>
      <xdr:col>9</xdr:col>
      <xdr:colOff>666750</xdr:colOff>
      <xdr:row>37</xdr:row>
      <xdr:rowOff>11906</xdr:rowOff>
    </xdr:from>
    <xdr:to>
      <xdr:col>9</xdr:col>
      <xdr:colOff>845343</xdr:colOff>
      <xdr:row>38</xdr:row>
      <xdr:rowOff>25192</xdr:rowOff>
    </xdr:to>
    <xdr:pic>
      <xdr:nvPicPr>
        <xdr:cNvPr id="19" name="Imagem 1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6969" y="7727156"/>
          <a:ext cx="178593" cy="215692"/>
        </a:xfrm>
        <a:prstGeom prst="rect">
          <a:avLst/>
        </a:prstGeom>
      </xdr:spPr>
    </xdr:pic>
    <xdr:clientData/>
  </xdr:twoCellAnchor>
  <xdr:twoCellAnchor>
    <xdr:from>
      <xdr:col>11</xdr:col>
      <xdr:colOff>333375</xdr:colOff>
      <xdr:row>37</xdr:row>
      <xdr:rowOff>35719</xdr:rowOff>
    </xdr:from>
    <xdr:to>
      <xdr:col>11</xdr:col>
      <xdr:colOff>513871</xdr:colOff>
      <xdr:row>37</xdr:row>
      <xdr:rowOff>178594</xdr:rowOff>
    </xdr:to>
    <xdr:pic>
      <xdr:nvPicPr>
        <xdr:cNvPr id="25" name="Imagem 2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84906" y="7750969"/>
          <a:ext cx="180496" cy="142875"/>
        </a:xfrm>
        <a:prstGeom prst="rect">
          <a:avLst/>
        </a:prstGeom>
      </xdr:spPr>
    </xdr:pic>
    <xdr:clientData/>
  </xdr:twoCellAnchor>
  <xdr:twoCellAnchor>
    <xdr:from>
      <xdr:col>11</xdr:col>
      <xdr:colOff>369093</xdr:colOff>
      <xdr:row>34</xdr:row>
      <xdr:rowOff>47625</xdr:rowOff>
    </xdr:from>
    <xdr:to>
      <xdr:col>11</xdr:col>
      <xdr:colOff>549589</xdr:colOff>
      <xdr:row>34</xdr:row>
      <xdr:rowOff>190500</xdr:rowOff>
    </xdr:to>
    <xdr:pic>
      <xdr:nvPicPr>
        <xdr:cNvPr id="27" name="Imagem 2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20624" y="8370094"/>
          <a:ext cx="180496" cy="142875"/>
        </a:xfrm>
        <a:prstGeom prst="rect">
          <a:avLst/>
        </a:prstGeom>
      </xdr:spPr>
    </xdr:pic>
    <xdr:clientData/>
  </xdr:twoCellAnchor>
  <xdr:twoCellAnchor>
    <xdr:from>
      <xdr:col>13</xdr:col>
      <xdr:colOff>428625</xdr:colOff>
      <xdr:row>49</xdr:row>
      <xdr:rowOff>47625</xdr:rowOff>
    </xdr:from>
    <xdr:to>
      <xdr:col>13</xdr:col>
      <xdr:colOff>596424</xdr:colOff>
      <xdr:row>49</xdr:row>
      <xdr:rowOff>190499</xdr:rowOff>
    </xdr:to>
    <xdr:pic>
      <xdr:nvPicPr>
        <xdr:cNvPr id="30" name="Imagem 29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11438" y="10298906"/>
          <a:ext cx="167799" cy="142874"/>
        </a:xfrm>
        <a:prstGeom prst="rect">
          <a:avLst/>
        </a:prstGeom>
      </xdr:spPr>
    </xdr:pic>
    <xdr:clientData/>
  </xdr:twoCellAnchor>
  <xdr:twoCellAnchor>
    <xdr:from>
      <xdr:col>5</xdr:col>
      <xdr:colOff>371475</xdr:colOff>
      <xdr:row>199</xdr:row>
      <xdr:rowOff>38100</xdr:rowOff>
    </xdr:from>
    <xdr:to>
      <xdr:col>5</xdr:col>
      <xdr:colOff>529553</xdr:colOff>
      <xdr:row>199</xdr:row>
      <xdr:rowOff>161925</xdr:rowOff>
    </xdr:to>
    <xdr:pic>
      <xdr:nvPicPr>
        <xdr:cNvPr id="21" name="Imagem 2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103803450"/>
          <a:ext cx="158078" cy="123825"/>
        </a:xfrm>
        <a:prstGeom prst="rect">
          <a:avLst/>
        </a:prstGeom>
      </xdr:spPr>
    </xdr:pic>
    <xdr:clientData/>
  </xdr:twoCellAnchor>
  <xdr:twoCellAnchor editAs="oneCell">
    <xdr:from>
      <xdr:col>3</xdr:col>
      <xdr:colOff>328613</xdr:colOff>
      <xdr:row>199</xdr:row>
      <xdr:rowOff>45245</xdr:rowOff>
    </xdr:from>
    <xdr:to>
      <xdr:col>3</xdr:col>
      <xdr:colOff>557213</xdr:colOff>
      <xdr:row>199</xdr:row>
      <xdr:rowOff>132423</xdr:rowOff>
    </xdr:to>
    <xdr:pic>
      <xdr:nvPicPr>
        <xdr:cNvPr id="22" name="Imagem 2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4663" y="103810595"/>
          <a:ext cx="228600" cy="87178"/>
        </a:xfrm>
        <a:prstGeom prst="rect">
          <a:avLst/>
        </a:prstGeom>
      </xdr:spPr>
    </xdr:pic>
    <xdr:clientData/>
  </xdr:twoCellAnchor>
  <xdr:twoCellAnchor>
    <xdr:from>
      <xdr:col>2</xdr:col>
      <xdr:colOff>804863</xdr:colOff>
      <xdr:row>211</xdr:row>
      <xdr:rowOff>26195</xdr:rowOff>
    </xdr:from>
    <xdr:to>
      <xdr:col>2</xdr:col>
      <xdr:colOff>907714</xdr:colOff>
      <xdr:row>211</xdr:row>
      <xdr:rowOff>140495</xdr:rowOff>
    </xdr:to>
    <xdr:pic>
      <xdr:nvPicPr>
        <xdr:cNvPr id="23" name="Imagem 22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813" y="106239470"/>
          <a:ext cx="102851" cy="114300"/>
        </a:xfrm>
        <a:prstGeom prst="rect">
          <a:avLst/>
        </a:prstGeom>
      </xdr:spPr>
    </xdr:pic>
    <xdr:clientData/>
  </xdr:twoCellAnchor>
  <xdr:twoCellAnchor>
    <xdr:from>
      <xdr:col>2</xdr:col>
      <xdr:colOff>790576</xdr:colOff>
      <xdr:row>213</xdr:row>
      <xdr:rowOff>45245</xdr:rowOff>
    </xdr:from>
    <xdr:to>
      <xdr:col>2</xdr:col>
      <xdr:colOff>914401</xdr:colOff>
      <xdr:row>213</xdr:row>
      <xdr:rowOff>142239</xdr:rowOff>
    </xdr:to>
    <xdr:pic>
      <xdr:nvPicPr>
        <xdr:cNvPr id="24" name="Imagem 23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4526" y="106658570"/>
          <a:ext cx="123825" cy="96994"/>
        </a:xfrm>
        <a:prstGeom prst="rect">
          <a:avLst/>
        </a:prstGeom>
      </xdr:spPr>
    </xdr:pic>
    <xdr:clientData/>
  </xdr:twoCellAnchor>
  <xdr:twoCellAnchor>
    <xdr:from>
      <xdr:col>6</xdr:col>
      <xdr:colOff>878681</xdr:colOff>
      <xdr:row>211</xdr:row>
      <xdr:rowOff>78582</xdr:rowOff>
    </xdr:from>
    <xdr:to>
      <xdr:col>6</xdr:col>
      <xdr:colOff>981532</xdr:colOff>
      <xdr:row>211</xdr:row>
      <xdr:rowOff>192882</xdr:rowOff>
    </xdr:to>
    <xdr:pic>
      <xdr:nvPicPr>
        <xdr:cNvPr id="31" name="Imagem 3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8881" y="106291857"/>
          <a:ext cx="102851" cy="114300"/>
        </a:xfrm>
        <a:prstGeom prst="rect">
          <a:avLst/>
        </a:prstGeom>
      </xdr:spPr>
    </xdr:pic>
    <xdr:clientData/>
  </xdr:twoCellAnchor>
  <xdr:twoCellAnchor>
    <xdr:from>
      <xdr:col>6</xdr:col>
      <xdr:colOff>864394</xdr:colOff>
      <xdr:row>213</xdr:row>
      <xdr:rowOff>80963</xdr:rowOff>
    </xdr:from>
    <xdr:to>
      <xdr:col>6</xdr:col>
      <xdr:colOff>988219</xdr:colOff>
      <xdr:row>213</xdr:row>
      <xdr:rowOff>177957</xdr:rowOff>
    </xdr:to>
    <xdr:pic>
      <xdr:nvPicPr>
        <xdr:cNvPr id="32" name="Imagem 3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4594" y="106694288"/>
          <a:ext cx="123825" cy="96994"/>
        </a:xfrm>
        <a:prstGeom prst="rect">
          <a:avLst/>
        </a:prstGeom>
      </xdr:spPr>
    </xdr:pic>
    <xdr:clientData/>
  </xdr:twoCellAnchor>
  <xdr:twoCellAnchor>
    <xdr:from>
      <xdr:col>5</xdr:col>
      <xdr:colOff>359568</xdr:colOff>
      <xdr:row>210</xdr:row>
      <xdr:rowOff>78581</xdr:rowOff>
    </xdr:from>
    <xdr:to>
      <xdr:col>5</xdr:col>
      <xdr:colOff>483393</xdr:colOff>
      <xdr:row>210</xdr:row>
      <xdr:rowOff>175575</xdr:rowOff>
    </xdr:to>
    <xdr:pic>
      <xdr:nvPicPr>
        <xdr:cNvPr id="33" name="Imagem 32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9168" y="106091831"/>
          <a:ext cx="123825" cy="96994"/>
        </a:xfrm>
        <a:prstGeom prst="rect">
          <a:avLst/>
        </a:prstGeom>
      </xdr:spPr>
    </xdr:pic>
    <xdr:clientData/>
  </xdr:twoCellAnchor>
  <xdr:twoCellAnchor>
    <xdr:from>
      <xdr:col>5</xdr:col>
      <xdr:colOff>383381</xdr:colOff>
      <xdr:row>212</xdr:row>
      <xdr:rowOff>66675</xdr:rowOff>
    </xdr:from>
    <xdr:to>
      <xdr:col>5</xdr:col>
      <xdr:colOff>507206</xdr:colOff>
      <xdr:row>212</xdr:row>
      <xdr:rowOff>163669</xdr:rowOff>
    </xdr:to>
    <xdr:pic>
      <xdr:nvPicPr>
        <xdr:cNvPr id="34" name="Imagem 33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2981" y="106479975"/>
          <a:ext cx="123825" cy="96994"/>
        </a:xfrm>
        <a:prstGeom prst="rect">
          <a:avLst/>
        </a:prstGeom>
      </xdr:spPr>
    </xdr:pic>
    <xdr:clientData/>
  </xdr:twoCellAnchor>
  <xdr:twoCellAnchor>
    <xdr:from>
      <xdr:col>5</xdr:col>
      <xdr:colOff>383381</xdr:colOff>
      <xdr:row>214</xdr:row>
      <xdr:rowOff>50006</xdr:rowOff>
    </xdr:from>
    <xdr:to>
      <xdr:col>5</xdr:col>
      <xdr:colOff>507206</xdr:colOff>
      <xdr:row>214</xdr:row>
      <xdr:rowOff>147000</xdr:rowOff>
    </xdr:to>
    <xdr:pic>
      <xdr:nvPicPr>
        <xdr:cNvPr id="35" name="Imagem 34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2981" y="106863356"/>
          <a:ext cx="123825" cy="96994"/>
        </a:xfrm>
        <a:prstGeom prst="rect">
          <a:avLst/>
        </a:prstGeom>
      </xdr:spPr>
    </xdr:pic>
    <xdr:clientData/>
  </xdr:twoCellAnchor>
  <xdr:twoCellAnchor>
    <xdr:from>
      <xdr:col>3</xdr:col>
      <xdr:colOff>361950</xdr:colOff>
      <xdr:row>210</xdr:row>
      <xdr:rowOff>45245</xdr:rowOff>
    </xdr:from>
    <xdr:to>
      <xdr:col>3</xdr:col>
      <xdr:colOff>495300</xdr:colOff>
      <xdr:row>210</xdr:row>
      <xdr:rowOff>165455</xdr:rowOff>
    </xdr:to>
    <xdr:pic>
      <xdr:nvPicPr>
        <xdr:cNvPr id="36" name="Imagem 35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106058495"/>
          <a:ext cx="133350" cy="120210"/>
        </a:xfrm>
        <a:prstGeom prst="rect">
          <a:avLst/>
        </a:prstGeom>
      </xdr:spPr>
    </xdr:pic>
    <xdr:clientData/>
  </xdr:twoCellAnchor>
  <xdr:twoCellAnchor>
    <xdr:from>
      <xdr:col>3</xdr:col>
      <xdr:colOff>350044</xdr:colOff>
      <xdr:row>212</xdr:row>
      <xdr:rowOff>45244</xdr:rowOff>
    </xdr:from>
    <xdr:to>
      <xdr:col>3</xdr:col>
      <xdr:colOff>483394</xdr:colOff>
      <xdr:row>212</xdr:row>
      <xdr:rowOff>165454</xdr:rowOff>
    </xdr:to>
    <xdr:pic>
      <xdr:nvPicPr>
        <xdr:cNvPr id="37" name="Imagem 36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6094" y="106458544"/>
          <a:ext cx="133350" cy="120210"/>
        </a:xfrm>
        <a:prstGeom prst="rect">
          <a:avLst/>
        </a:prstGeom>
      </xdr:spPr>
    </xdr:pic>
    <xdr:clientData/>
  </xdr:twoCellAnchor>
  <xdr:twoCellAnchor>
    <xdr:from>
      <xdr:col>3</xdr:col>
      <xdr:colOff>335757</xdr:colOff>
      <xdr:row>214</xdr:row>
      <xdr:rowOff>14287</xdr:rowOff>
    </xdr:from>
    <xdr:to>
      <xdr:col>3</xdr:col>
      <xdr:colOff>469107</xdr:colOff>
      <xdr:row>214</xdr:row>
      <xdr:rowOff>134497</xdr:rowOff>
    </xdr:to>
    <xdr:pic>
      <xdr:nvPicPr>
        <xdr:cNvPr id="38" name="Imagem 37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1807" y="106827637"/>
          <a:ext cx="133350" cy="120210"/>
        </a:xfrm>
        <a:prstGeom prst="rect">
          <a:avLst/>
        </a:prstGeom>
      </xdr:spPr>
    </xdr:pic>
    <xdr:clientData/>
  </xdr:twoCellAnchor>
  <xdr:twoCellAnchor>
    <xdr:from>
      <xdr:col>7</xdr:col>
      <xdr:colOff>452438</xdr:colOff>
      <xdr:row>211</xdr:row>
      <xdr:rowOff>59531</xdr:rowOff>
    </xdr:from>
    <xdr:to>
      <xdr:col>7</xdr:col>
      <xdr:colOff>555289</xdr:colOff>
      <xdr:row>211</xdr:row>
      <xdr:rowOff>173831</xdr:rowOff>
    </xdr:to>
    <xdr:pic>
      <xdr:nvPicPr>
        <xdr:cNvPr id="39" name="Imagem 38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5263" y="106272806"/>
          <a:ext cx="102851" cy="114300"/>
        </a:xfrm>
        <a:prstGeom prst="rect">
          <a:avLst/>
        </a:prstGeom>
      </xdr:spPr>
    </xdr:pic>
    <xdr:clientData/>
  </xdr:twoCellAnchor>
  <xdr:twoCellAnchor>
    <xdr:from>
      <xdr:col>7</xdr:col>
      <xdr:colOff>452438</xdr:colOff>
      <xdr:row>213</xdr:row>
      <xdr:rowOff>59531</xdr:rowOff>
    </xdr:from>
    <xdr:to>
      <xdr:col>7</xdr:col>
      <xdr:colOff>576263</xdr:colOff>
      <xdr:row>213</xdr:row>
      <xdr:rowOff>156525</xdr:rowOff>
    </xdr:to>
    <xdr:pic>
      <xdr:nvPicPr>
        <xdr:cNvPr id="40" name="Imagem 39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5263" y="106672856"/>
          <a:ext cx="123825" cy="96994"/>
        </a:xfrm>
        <a:prstGeom prst="rect">
          <a:avLst/>
        </a:prstGeom>
      </xdr:spPr>
    </xdr:pic>
    <xdr:clientData/>
  </xdr:twoCellAnchor>
  <xdr:twoCellAnchor>
    <xdr:from>
      <xdr:col>3</xdr:col>
      <xdr:colOff>297656</xdr:colOff>
      <xdr:row>204</xdr:row>
      <xdr:rowOff>11906</xdr:rowOff>
    </xdr:from>
    <xdr:to>
      <xdr:col>3</xdr:col>
      <xdr:colOff>469106</xdr:colOff>
      <xdr:row>205</xdr:row>
      <xdr:rowOff>2416</xdr:rowOff>
    </xdr:to>
    <xdr:pic>
      <xdr:nvPicPr>
        <xdr:cNvPr id="41" name="Imagem 40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3706" y="104777381"/>
          <a:ext cx="171450" cy="190535"/>
        </a:xfrm>
        <a:prstGeom prst="rect">
          <a:avLst/>
        </a:prstGeom>
      </xdr:spPr>
    </xdr:pic>
    <xdr:clientData/>
  </xdr:twoCellAnchor>
  <xdr:twoCellAnchor>
    <xdr:from>
      <xdr:col>5</xdr:col>
      <xdr:colOff>309563</xdr:colOff>
      <xdr:row>204</xdr:row>
      <xdr:rowOff>47625</xdr:rowOff>
    </xdr:from>
    <xdr:to>
      <xdr:col>5</xdr:col>
      <xdr:colOff>479800</xdr:colOff>
      <xdr:row>204</xdr:row>
      <xdr:rowOff>180974</xdr:rowOff>
    </xdr:to>
    <xdr:pic>
      <xdr:nvPicPr>
        <xdr:cNvPr id="42" name="Imagem 4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9163" y="104813100"/>
          <a:ext cx="170237" cy="133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sjurossobrejurosdatp.com.br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osjurossobrejurosdatp.com.br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zoomScale="80" zoomScaleNormal="80" workbookViewId="0">
      <selection activeCell="A2" sqref="A2"/>
    </sheetView>
  </sheetViews>
  <sheetFormatPr defaultRowHeight="15" x14ac:dyDescent="0.25"/>
  <cols>
    <col min="1" max="1" width="5.7109375" customWidth="1"/>
    <col min="2" max="2" width="9.140625" customWidth="1"/>
    <col min="11" max="11" width="10.7109375" customWidth="1"/>
    <col min="12" max="12" width="14.42578125" customWidth="1"/>
    <col min="14" max="14" width="30.7109375" customWidth="1"/>
  </cols>
  <sheetData>
    <row r="1" spans="1:14" s="32" customFormat="1" ht="30" customHeight="1" x14ac:dyDescent="0.25">
      <c r="A1" s="147" t="s">
        <v>266</v>
      </c>
    </row>
    <row r="2" spans="1:14" s="32" customFormat="1" ht="15.95" customHeight="1" x14ac:dyDescent="0.25"/>
    <row r="3" spans="1:14" s="32" customFormat="1" ht="15.95" customHeight="1" x14ac:dyDescent="0.25">
      <c r="A3" s="56" t="s">
        <v>62</v>
      </c>
    </row>
    <row r="4" spans="1:14" s="32" customFormat="1" ht="15.95" customHeight="1" x14ac:dyDescent="0.25">
      <c r="A4" s="56" t="s">
        <v>61</v>
      </c>
    </row>
    <row r="5" spans="1:14" s="32" customFormat="1" ht="15.95" customHeight="1" x14ac:dyDescent="0.25">
      <c r="A5" s="57" t="s">
        <v>275</v>
      </c>
      <c r="B5" s="58"/>
      <c r="C5" s="58"/>
      <c r="D5" s="58"/>
      <c r="E5" s="58"/>
    </row>
    <row r="6" spans="1:14" s="32" customFormat="1" ht="15.95" customHeight="1" x14ac:dyDescent="0.25"/>
    <row r="7" spans="1:14" s="32" customFormat="1" ht="15.95" customHeight="1" x14ac:dyDescent="0.25">
      <c r="A7" s="183" t="s">
        <v>129</v>
      </c>
      <c r="B7" s="184"/>
      <c r="C7" s="184"/>
      <c r="D7" s="184"/>
      <c r="E7" s="184"/>
      <c r="F7" s="184"/>
      <c r="G7" s="184"/>
      <c r="H7" s="184"/>
      <c r="I7" s="185"/>
    </row>
    <row r="8" spans="1:14" s="32" customFormat="1" ht="15.95" customHeight="1" x14ac:dyDescent="0.25">
      <c r="A8" s="56" t="s">
        <v>130</v>
      </c>
      <c r="E8" s="56" t="s">
        <v>132</v>
      </c>
    </row>
    <row r="9" spans="1:14" s="32" customFormat="1" ht="15.95" customHeight="1" x14ac:dyDescent="0.25">
      <c r="A9" s="56" t="s">
        <v>131</v>
      </c>
      <c r="E9" s="56" t="s">
        <v>133</v>
      </c>
    </row>
    <row r="10" spans="1:14" s="32" customFormat="1" ht="15.95" customHeight="1" x14ac:dyDescent="0.25">
      <c r="E10" s="56" t="s">
        <v>276</v>
      </c>
    </row>
    <row r="11" spans="1:14" s="32" customFormat="1" ht="15.95" customHeight="1" x14ac:dyDescent="0.25">
      <c r="N11" s="122"/>
    </row>
    <row r="12" spans="1:14" s="32" customFormat="1" ht="24.95" customHeight="1" x14ac:dyDescent="0.25">
      <c r="A12" s="148" t="s">
        <v>217</v>
      </c>
    </row>
    <row r="13" spans="1:14" s="32" customFormat="1" ht="15.95" customHeight="1" x14ac:dyDescent="0.25">
      <c r="B13" s="32" t="s">
        <v>267</v>
      </c>
      <c r="N13" s="122"/>
    </row>
    <row r="14" spans="1:14" s="32" customFormat="1" ht="15.95" customHeight="1" x14ac:dyDescent="0.25">
      <c r="B14" s="32" t="s">
        <v>211</v>
      </c>
      <c r="N14" s="122"/>
    </row>
    <row r="15" spans="1:14" s="32" customFormat="1" ht="15.95" customHeight="1" x14ac:dyDescent="0.25">
      <c r="B15" s="32" t="s">
        <v>206</v>
      </c>
      <c r="N15" s="122"/>
    </row>
    <row r="16" spans="1:14" s="32" customFormat="1" ht="15.95" customHeight="1" x14ac:dyDescent="0.25">
      <c r="B16" s="32" t="s">
        <v>205</v>
      </c>
      <c r="N16" s="122"/>
    </row>
    <row r="17" spans="2:14" s="32" customFormat="1" ht="15.95" customHeight="1" x14ac:dyDescent="0.25">
      <c r="N17" s="122"/>
    </row>
    <row r="18" spans="2:14" s="32" customFormat="1" ht="15.95" customHeight="1" x14ac:dyDescent="0.25">
      <c r="B18" s="32" t="s">
        <v>263</v>
      </c>
      <c r="N18" s="122"/>
    </row>
    <row r="19" spans="2:14" s="32" customFormat="1" ht="15.95" customHeight="1" x14ac:dyDescent="0.25">
      <c r="B19" s="32" t="s">
        <v>204</v>
      </c>
      <c r="D19" s="179" t="s">
        <v>61</v>
      </c>
      <c r="N19" s="122"/>
    </row>
    <row r="20" spans="2:14" s="32" customFormat="1" ht="15.95" customHeight="1" x14ac:dyDescent="0.25">
      <c r="N20" s="122"/>
    </row>
    <row r="21" spans="2:14" s="32" customFormat="1" ht="15.95" customHeight="1" x14ac:dyDescent="0.25">
      <c r="B21" s="32" t="s">
        <v>207</v>
      </c>
      <c r="N21" s="122"/>
    </row>
    <row r="22" spans="2:14" s="32" customFormat="1" ht="15.95" customHeight="1" x14ac:dyDescent="0.25">
      <c r="B22" s="32" t="s">
        <v>208</v>
      </c>
      <c r="N22" s="122"/>
    </row>
    <row r="23" spans="2:14" s="32" customFormat="1" ht="15.95" customHeight="1" x14ac:dyDescent="0.25">
      <c r="B23" s="32" t="s">
        <v>209</v>
      </c>
      <c r="N23" s="122"/>
    </row>
    <row r="24" spans="2:14" s="32" customFormat="1" ht="15.95" customHeight="1" x14ac:dyDescent="0.25">
      <c r="B24" s="32" t="s">
        <v>210</v>
      </c>
      <c r="N24" s="122"/>
    </row>
    <row r="25" spans="2:14" s="32" customFormat="1" ht="15.95" customHeight="1" x14ac:dyDescent="0.25">
      <c r="N25" s="122"/>
    </row>
    <row r="26" spans="2:14" s="32" customFormat="1" ht="15.95" customHeight="1" x14ac:dyDescent="0.25">
      <c r="B26" s="32" t="s">
        <v>264</v>
      </c>
      <c r="N26" s="122"/>
    </row>
    <row r="27" spans="2:14" s="32" customFormat="1" ht="15.95" customHeight="1" x14ac:dyDescent="0.25">
      <c r="B27" s="32" t="s">
        <v>265</v>
      </c>
      <c r="N27" s="122"/>
    </row>
    <row r="28" spans="2:14" s="32" customFormat="1" ht="15.95" customHeight="1" x14ac:dyDescent="0.25">
      <c r="B28" s="59"/>
    </row>
    <row r="29" spans="2:14" s="32" customFormat="1" ht="15.95" customHeight="1" x14ac:dyDescent="0.25">
      <c r="B29" s="59" t="s">
        <v>142</v>
      </c>
    </row>
    <row r="30" spans="2:14" s="32" customFormat="1" ht="15.95" customHeight="1" x14ac:dyDescent="0.25">
      <c r="B30" s="59"/>
    </row>
    <row r="31" spans="2:14" s="32" customFormat="1" ht="15.95" customHeight="1" x14ac:dyDescent="0.25">
      <c r="B31" s="59" t="s">
        <v>212</v>
      </c>
    </row>
    <row r="32" spans="2:14" s="32" customFormat="1" ht="15.95" customHeight="1" x14ac:dyDescent="0.25">
      <c r="B32" s="59" t="s">
        <v>213</v>
      </c>
    </row>
    <row r="33" spans="2:15" s="32" customFormat="1" ht="15.95" customHeight="1" x14ac:dyDescent="0.25">
      <c r="B33" s="59" t="s">
        <v>87</v>
      </c>
    </row>
    <row r="34" spans="2:15" s="32" customFormat="1" ht="15.95" customHeight="1" x14ac:dyDescent="0.25"/>
    <row r="35" spans="2:15" s="32" customFormat="1" ht="15.95" customHeight="1" x14ac:dyDescent="0.25">
      <c r="B35" s="59" t="s">
        <v>91</v>
      </c>
      <c r="L35" s="60" t="s">
        <v>88</v>
      </c>
      <c r="M35" s="61" t="s">
        <v>89</v>
      </c>
      <c r="N35" s="60" t="s">
        <v>93</v>
      </c>
      <c r="O35" s="32" t="s">
        <v>90</v>
      </c>
    </row>
    <row r="36" spans="2:15" s="32" customFormat="1" ht="15.95" customHeight="1" x14ac:dyDescent="0.25">
      <c r="B36" s="59" t="s">
        <v>92</v>
      </c>
    </row>
    <row r="37" spans="2:15" s="32" customFormat="1" ht="15.95" customHeight="1" x14ac:dyDescent="0.25">
      <c r="B37" s="59" t="s">
        <v>94</v>
      </c>
    </row>
    <row r="38" spans="2:15" s="32" customFormat="1" ht="15.95" customHeight="1" x14ac:dyDescent="0.25">
      <c r="B38" s="59" t="s">
        <v>114</v>
      </c>
    </row>
    <row r="39" spans="2:15" s="32" customFormat="1" ht="15.95" customHeight="1" x14ac:dyDescent="0.25"/>
    <row r="40" spans="2:15" s="32" customFormat="1" ht="15.95" customHeight="1" x14ac:dyDescent="0.25"/>
    <row r="41" spans="2:15" s="32" customFormat="1" ht="15.95" customHeight="1" x14ac:dyDescent="0.25"/>
    <row r="42" spans="2:15" s="32" customFormat="1" ht="15.95" customHeight="1" x14ac:dyDescent="0.25"/>
    <row r="43" spans="2:15" s="32" customFormat="1" ht="15.95" customHeight="1" x14ac:dyDescent="0.25"/>
    <row r="44" spans="2:15" s="32" customFormat="1" ht="15.95" customHeight="1" x14ac:dyDescent="0.25"/>
    <row r="45" spans="2:15" s="32" customFormat="1" ht="15.95" customHeight="1" x14ac:dyDescent="0.25"/>
    <row r="46" spans="2:15" s="32" customFormat="1" ht="15.95" customHeight="1" x14ac:dyDescent="0.25"/>
    <row r="47" spans="2:15" s="32" customFormat="1" ht="15.95" customHeight="1" x14ac:dyDescent="0.25"/>
    <row r="48" spans="2:15" s="32" customFormat="1" ht="15.95" customHeight="1" x14ac:dyDescent="0.25"/>
    <row r="49" s="32" customFormat="1" ht="15.95" customHeight="1" x14ac:dyDescent="0.25"/>
    <row r="50" s="32" customFormat="1" ht="15.95" customHeight="1" x14ac:dyDescent="0.25"/>
    <row r="51" s="32" customFormat="1" ht="15.95" customHeight="1" x14ac:dyDescent="0.25"/>
    <row r="52" s="32" customFormat="1" ht="15.95" customHeight="1" x14ac:dyDescent="0.25"/>
    <row r="53" s="32" customFormat="1" ht="15.95" customHeight="1" x14ac:dyDescent="0.25"/>
    <row r="54" s="32" customFormat="1" ht="15.95" customHeight="1" x14ac:dyDescent="0.25"/>
    <row r="55" s="32" customFormat="1" ht="15.95" customHeight="1" x14ac:dyDescent="0.25"/>
  </sheetData>
  <sheetProtection password="C6BE" sheet="1" objects="1" scenarios="1" formatColumns="0"/>
  <mergeCells count="1">
    <mergeCell ref="A7:I7"/>
  </mergeCells>
  <hyperlinks>
    <hyperlink ref="D19" r:id="rId1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2"/>
  <sheetViews>
    <sheetView zoomScale="80" zoomScaleNormal="80" workbookViewId="0">
      <selection activeCell="A2" sqref="A2"/>
    </sheetView>
  </sheetViews>
  <sheetFormatPr defaultRowHeight="15" x14ac:dyDescent="0.25"/>
  <cols>
    <col min="1" max="1" width="5.7109375" style="9" customWidth="1"/>
    <col min="2" max="2" width="18.28515625" style="9" customWidth="1"/>
    <col min="3" max="3" width="19" style="9" customWidth="1"/>
    <col min="4" max="4" width="22" style="9" customWidth="1"/>
    <col min="5" max="5" width="17.85546875" style="9" customWidth="1"/>
    <col min="6" max="6" width="18.7109375" style="9" customWidth="1"/>
    <col min="7" max="7" width="18.42578125" style="9" customWidth="1"/>
    <col min="8" max="8" width="15.42578125" style="9" customWidth="1"/>
    <col min="9" max="9" width="17" style="9" customWidth="1"/>
    <col min="10" max="10" width="17.28515625" style="9" customWidth="1"/>
    <col min="11" max="11" width="16.85546875" style="9" customWidth="1"/>
    <col min="12" max="12" width="12.42578125" style="9" customWidth="1"/>
    <col min="13" max="13" width="13" style="9" customWidth="1"/>
    <col min="14" max="14" width="12.28515625" style="9" customWidth="1"/>
    <col min="15" max="15" width="17.28515625" style="9" customWidth="1"/>
    <col min="16" max="17" width="14.140625" style="9" customWidth="1"/>
    <col min="18" max="18" width="12.85546875" style="9" customWidth="1"/>
    <col min="19" max="19" width="18.42578125" style="9" customWidth="1"/>
    <col min="20" max="20" width="13.7109375" style="9" customWidth="1"/>
    <col min="21" max="21" width="16.85546875" style="9" customWidth="1"/>
    <col min="22" max="22" width="14.140625" style="9" customWidth="1"/>
    <col min="23" max="23" width="18.42578125" style="9" customWidth="1"/>
    <col min="24" max="24" width="12.28515625" style="9" customWidth="1"/>
    <col min="25" max="25" width="12.42578125" style="9" customWidth="1"/>
    <col min="26" max="26" width="12.7109375" style="9" customWidth="1"/>
    <col min="27" max="27" width="17.28515625" style="9" customWidth="1"/>
    <col min="28" max="28" width="13.7109375" style="9" customWidth="1"/>
    <col min="29" max="29" width="12.5703125" style="9" customWidth="1"/>
    <col min="30" max="30" width="13.42578125" style="9" customWidth="1"/>
    <col min="31" max="31" width="17.140625" style="9" customWidth="1"/>
    <col min="32" max="32" width="13.140625" style="9" customWidth="1"/>
    <col min="33" max="33" width="13.85546875" style="9" customWidth="1"/>
    <col min="34" max="34" width="13.5703125" style="9" customWidth="1"/>
    <col min="35" max="35" width="17.42578125" style="9" customWidth="1"/>
    <col min="36" max="36" width="12.7109375" style="9" customWidth="1"/>
    <col min="37" max="37" width="12.42578125" style="9" customWidth="1"/>
    <col min="38" max="38" width="13.28515625" style="9" customWidth="1"/>
    <col min="39" max="39" width="17.85546875" style="9" customWidth="1"/>
    <col min="40" max="40" width="13.5703125" style="9" customWidth="1"/>
    <col min="41" max="41" width="14" style="9" customWidth="1"/>
    <col min="42" max="42" width="13.140625" style="9" customWidth="1"/>
    <col min="43" max="43" width="18" style="9" customWidth="1"/>
    <col min="44" max="44" width="13.85546875" style="9" customWidth="1"/>
    <col min="45" max="45" width="14.5703125" style="9" customWidth="1"/>
    <col min="46" max="46" width="13.5703125" style="9" customWidth="1"/>
    <col min="47" max="47" width="18.140625" style="9" customWidth="1"/>
    <col min="48" max="48" width="12.85546875" style="9" customWidth="1"/>
    <col min="49" max="49" width="14.42578125" style="9" customWidth="1"/>
    <col min="50" max="50" width="13.7109375" style="9" customWidth="1"/>
    <col min="51" max="51" width="17.85546875" style="9" customWidth="1"/>
    <col min="52" max="52" width="13.140625" style="9" customWidth="1"/>
    <col min="53" max="53" width="14" style="9" customWidth="1"/>
    <col min="54" max="54" width="12.7109375" style="9" customWidth="1"/>
    <col min="55" max="55" width="17.7109375" style="9" customWidth="1"/>
    <col min="56" max="56" width="12.28515625" style="9" customWidth="1"/>
    <col min="57" max="57" width="13.42578125" style="9" customWidth="1"/>
    <col min="58" max="58" width="13.28515625" style="9" customWidth="1"/>
    <col min="59" max="59" width="17.42578125" style="9" customWidth="1"/>
    <col min="60" max="60" width="13.42578125" style="9" customWidth="1"/>
    <col min="61" max="61" width="14.140625" style="9" customWidth="1"/>
    <col min="62" max="62" width="12.42578125" style="9" customWidth="1"/>
    <col min="63" max="63" width="18.28515625" style="9" customWidth="1"/>
    <col min="64" max="64" width="13.42578125" style="9" customWidth="1"/>
    <col min="65" max="65" width="13.85546875" style="9" customWidth="1"/>
    <col min="66" max="66" width="12.5703125" style="9" customWidth="1"/>
    <col min="67" max="67" width="18.28515625" style="9" customWidth="1"/>
    <col min="68" max="68" width="12.85546875" style="9" customWidth="1"/>
    <col min="69" max="69" width="15.85546875" style="9" customWidth="1"/>
    <col min="70" max="70" width="13.140625" style="9" customWidth="1"/>
    <col min="71" max="71" width="19.42578125" style="9" customWidth="1"/>
    <col min="72" max="72" width="13.28515625" style="9" customWidth="1"/>
    <col min="73" max="73" width="15.140625" style="9" customWidth="1"/>
    <col min="74" max="74" width="13.140625" style="9" customWidth="1"/>
    <col min="75" max="75" width="17.140625" style="9" customWidth="1"/>
    <col min="76" max="76" width="13" style="9" customWidth="1"/>
    <col min="77" max="77" width="14" style="9" customWidth="1"/>
    <col min="78" max="78" width="17.140625" style="9" customWidth="1"/>
    <col min="79" max="79" width="17.7109375" style="9" customWidth="1"/>
    <col min="80" max="80" width="12.85546875" style="9" customWidth="1"/>
    <col min="81" max="81" width="12.5703125" style="9" customWidth="1"/>
    <col min="82" max="82" width="13.7109375" style="9" customWidth="1"/>
    <col min="83" max="83" width="18.7109375" style="9" customWidth="1"/>
    <col min="84" max="84" width="12.7109375" style="9" customWidth="1"/>
    <col min="85" max="85" width="13.7109375" style="9" customWidth="1"/>
    <col min="86" max="86" width="12.7109375" style="9" customWidth="1"/>
    <col min="87" max="87" width="18.42578125" style="9" customWidth="1"/>
    <col min="88" max="88" width="14.140625" style="9" customWidth="1"/>
    <col min="89" max="89" width="12.42578125" style="9" customWidth="1"/>
    <col min="90" max="90" width="12.7109375" style="9" customWidth="1"/>
    <col min="91" max="91" width="17.5703125" style="9" customWidth="1"/>
    <col min="92" max="92" width="13.7109375" style="9" customWidth="1"/>
    <col min="93" max="93" width="12.5703125" style="9" customWidth="1"/>
    <col min="94" max="94" width="13.85546875" style="9" customWidth="1"/>
    <col min="95" max="95" width="17.85546875" style="9" customWidth="1"/>
    <col min="96" max="96" width="12.42578125" style="9" customWidth="1"/>
    <col min="97" max="97" width="13.28515625" style="9" customWidth="1"/>
    <col min="98" max="98" width="13.140625" style="9" customWidth="1"/>
    <col min="99" max="99" width="17.7109375" style="9" customWidth="1"/>
    <col min="100" max="100" width="12.85546875" style="9" customWidth="1"/>
    <col min="101" max="101" width="13.85546875" style="9" customWidth="1"/>
    <col min="102" max="102" width="12.5703125" style="9" customWidth="1"/>
    <col min="103" max="103" width="17.5703125" style="9" customWidth="1"/>
    <col min="104" max="104" width="12.85546875" style="9" customWidth="1"/>
    <col min="105" max="105" width="13.85546875" style="9" customWidth="1"/>
    <col min="106" max="106" width="13.28515625" style="9" customWidth="1"/>
    <col min="107" max="107" width="17.85546875" style="9" customWidth="1"/>
    <col min="108" max="109" width="13.28515625" style="9" customWidth="1"/>
    <col min="110" max="110" width="13" style="9" customWidth="1"/>
    <col min="111" max="111" width="18.42578125" style="9" customWidth="1"/>
    <col min="112" max="112" width="13" style="9" customWidth="1"/>
    <col min="113" max="113" width="13.7109375" style="9" customWidth="1"/>
    <col min="114" max="114" width="13.85546875" style="9" customWidth="1"/>
    <col min="115" max="115" width="18" style="9" customWidth="1"/>
    <col min="116" max="116" width="12.42578125" style="9" customWidth="1"/>
    <col min="117" max="117" width="12.85546875" style="9" customWidth="1"/>
    <col min="118" max="118" width="13.85546875" style="9" customWidth="1"/>
    <col min="119" max="119" width="17.85546875" style="9" customWidth="1"/>
    <col min="120" max="120" width="14.28515625" style="9" customWidth="1"/>
    <col min="121" max="121" width="14" style="9" customWidth="1"/>
    <col min="122" max="122" width="13.85546875" style="9" customWidth="1"/>
    <col min="123" max="123" width="17.140625" style="9" customWidth="1"/>
    <col min="124" max="124" width="13.140625" style="9" customWidth="1"/>
    <col min="125" max="125" width="12.85546875" style="9" customWidth="1"/>
    <col min="126" max="126" width="14.42578125" style="9" customWidth="1"/>
    <col min="127" max="127" width="17.5703125" style="9" customWidth="1"/>
    <col min="128" max="128" width="13.42578125" style="9" customWidth="1"/>
    <col min="129" max="130" width="13.140625" style="9" customWidth="1"/>
    <col min="131" max="131" width="17.7109375" style="9" customWidth="1"/>
    <col min="132" max="133" width="13.7109375" style="9" customWidth="1"/>
    <col min="134" max="134" width="12.85546875" style="9" customWidth="1"/>
    <col min="135" max="135" width="19" style="9" customWidth="1"/>
    <col min="136" max="136" width="13.5703125" style="9" customWidth="1"/>
    <col min="137" max="137" width="13.28515625" style="9" customWidth="1"/>
    <col min="138" max="138" width="14.28515625" style="9" customWidth="1"/>
    <col min="139" max="139" width="18" style="9" customWidth="1"/>
    <col min="140" max="140" width="12.5703125" style="9" customWidth="1"/>
    <col min="141" max="141" width="13.5703125" style="9" customWidth="1"/>
    <col min="142" max="142" width="12.85546875" style="9" customWidth="1"/>
    <col min="143" max="143" width="18.140625" style="9" customWidth="1"/>
    <col min="144" max="144" width="13.28515625" style="9" customWidth="1"/>
    <col min="145" max="145" width="13.5703125" style="9" customWidth="1"/>
    <col min="146" max="146" width="13.42578125" style="9" customWidth="1"/>
    <col min="147" max="147" width="18.5703125" style="9" customWidth="1"/>
    <col min="148" max="148" width="12.7109375" style="9" customWidth="1"/>
    <col min="149" max="149" width="13.7109375" style="9" customWidth="1"/>
    <col min="150" max="150" width="13.5703125" style="9" customWidth="1"/>
    <col min="151" max="151" width="13.7109375" style="9" customWidth="1"/>
    <col min="152" max="152" width="16.5703125" style="9" customWidth="1"/>
    <col min="153" max="153" width="14" style="9" customWidth="1"/>
    <col min="154" max="16384" width="9.140625" style="9"/>
  </cols>
  <sheetData>
    <row r="1" spans="1:4" s="27" customFormat="1" ht="30" customHeight="1" x14ac:dyDescent="0.25">
      <c r="A1" s="147" t="s">
        <v>185</v>
      </c>
    </row>
    <row r="2" spans="1:4" s="27" customFormat="1" ht="15.95" customHeight="1" x14ac:dyDescent="0.25">
      <c r="C2" s="163" t="s">
        <v>259</v>
      </c>
    </row>
    <row r="3" spans="1:4" s="27" customFormat="1" ht="15.95" customHeight="1" x14ac:dyDescent="0.25">
      <c r="C3" s="164" t="s">
        <v>187</v>
      </c>
    </row>
    <row r="4" spans="1:4" s="27" customFormat="1" ht="15.95" customHeight="1" x14ac:dyDescent="0.25">
      <c r="C4" s="164" t="s">
        <v>221</v>
      </c>
    </row>
    <row r="5" spans="1:4" s="27" customFormat="1" ht="15.95" customHeight="1" x14ac:dyDescent="0.25">
      <c r="C5" s="164" t="s">
        <v>189</v>
      </c>
    </row>
    <row r="6" spans="1:4" s="27" customFormat="1" ht="15.95" customHeight="1" x14ac:dyDescent="0.25">
      <c r="C6" s="164" t="s">
        <v>223</v>
      </c>
    </row>
    <row r="7" spans="1:4" s="27" customFormat="1" ht="15.95" customHeight="1" x14ac:dyDescent="0.25">
      <c r="C7" s="164" t="s">
        <v>227</v>
      </c>
    </row>
    <row r="8" spans="1:4" s="27" customFormat="1" ht="15.95" customHeight="1" x14ac:dyDescent="0.25">
      <c r="C8" s="164" t="s">
        <v>228</v>
      </c>
    </row>
    <row r="9" spans="1:4" s="27" customFormat="1" ht="15.95" customHeight="1" x14ac:dyDescent="0.25">
      <c r="C9" s="164" t="s">
        <v>229</v>
      </c>
    </row>
    <row r="10" spans="1:4" s="27" customFormat="1" ht="15.95" customHeight="1" x14ac:dyDescent="0.25">
      <c r="A10" s="63"/>
      <c r="B10" s="15"/>
      <c r="C10" s="15"/>
      <c r="D10" s="15"/>
    </row>
    <row r="11" spans="1:4" s="32" customFormat="1" ht="24.95" customHeight="1" x14ac:dyDescent="0.25">
      <c r="A11" s="149" t="s">
        <v>187</v>
      </c>
    </row>
    <row r="12" spans="1:4" s="27" customFormat="1" ht="15.95" customHeight="1" x14ac:dyDescent="0.25">
      <c r="B12" s="44" t="s">
        <v>69</v>
      </c>
    </row>
    <row r="13" spans="1:4" s="27" customFormat="1" ht="15.95" customHeight="1" x14ac:dyDescent="0.25">
      <c r="B13" s="44" t="s">
        <v>140</v>
      </c>
    </row>
    <row r="14" spans="1:4" s="27" customFormat="1" ht="15.95" customHeight="1" x14ac:dyDescent="0.25">
      <c r="B14" s="44" t="s">
        <v>49</v>
      </c>
    </row>
    <row r="15" spans="1:4" s="27" customFormat="1" ht="15.95" customHeight="1" x14ac:dyDescent="0.25">
      <c r="B15" s="44" t="s">
        <v>225</v>
      </c>
    </row>
    <row r="16" spans="1:4" s="27" customFormat="1" ht="15.95" customHeight="1" x14ac:dyDescent="0.25">
      <c r="B16" s="44" t="s">
        <v>226</v>
      </c>
    </row>
    <row r="17" spans="1:11" s="27" customFormat="1" ht="15.95" customHeight="1" x14ac:dyDescent="0.25">
      <c r="B17" s="44" t="s">
        <v>214</v>
      </c>
    </row>
    <row r="18" spans="1:11" s="27" customFormat="1" ht="15.95" customHeight="1" x14ac:dyDescent="0.25">
      <c r="A18" s="63"/>
      <c r="B18" s="15"/>
      <c r="C18" s="15"/>
      <c r="D18" s="15"/>
    </row>
    <row r="19" spans="1:11" s="32" customFormat="1" ht="24.95" customHeight="1" x14ac:dyDescent="0.25">
      <c r="A19" s="148" t="s">
        <v>221</v>
      </c>
    </row>
    <row r="20" spans="1:11" s="27" customFormat="1" ht="15.95" customHeight="1" x14ac:dyDescent="0.25"/>
    <row r="21" spans="1:11" s="27" customFormat="1" ht="24.95" customHeight="1" thickBot="1" x14ac:dyDescent="0.3">
      <c r="B21" s="152" t="s">
        <v>26</v>
      </c>
      <c r="D21" s="29"/>
      <c r="E21" s="29"/>
      <c r="I21" s="29"/>
      <c r="J21" s="29"/>
      <c r="K21" s="29"/>
    </row>
    <row r="22" spans="1:11" s="27" customFormat="1" ht="15.95" customHeight="1" x14ac:dyDescent="0.25">
      <c r="B22" s="207" t="s">
        <v>0</v>
      </c>
      <c r="C22" s="207"/>
      <c r="D22" s="54" t="s">
        <v>1</v>
      </c>
      <c r="E22" s="88">
        <v>10000</v>
      </c>
      <c r="H22" s="79" t="s">
        <v>71</v>
      </c>
      <c r="I22" s="80"/>
      <c r="J22" s="81"/>
      <c r="K22" s="29"/>
    </row>
    <row r="23" spans="1:11" s="27" customFormat="1" ht="15.95" customHeight="1" x14ac:dyDescent="0.25">
      <c r="B23" s="207" t="s">
        <v>2</v>
      </c>
      <c r="C23" s="207"/>
      <c r="D23" s="54" t="s">
        <v>3</v>
      </c>
      <c r="E23" s="89">
        <v>9.7000000000000003E-3</v>
      </c>
      <c r="H23" s="82"/>
      <c r="I23" s="29"/>
      <c r="J23" s="36"/>
      <c r="K23" s="29"/>
    </row>
    <row r="24" spans="1:11" s="27" customFormat="1" ht="15.95" customHeight="1" x14ac:dyDescent="0.25">
      <c r="B24" s="207" t="s">
        <v>4</v>
      </c>
      <c r="C24" s="207"/>
      <c r="D24" s="54" t="s">
        <v>5</v>
      </c>
      <c r="E24" s="90">
        <v>15</v>
      </c>
      <c r="H24" s="83" t="s">
        <v>125</v>
      </c>
      <c r="I24" s="29"/>
      <c r="J24" s="36"/>
      <c r="K24" s="29"/>
    </row>
    <row r="25" spans="1:11" s="27" customFormat="1" ht="15.95" customHeight="1" x14ac:dyDescent="0.25">
      <c r="B25" s="207" t="s">
        <v>11</v>
      </c>
      <c r="C25" s="207"/>
      <c r="D25" s="54" t="s">
        <v>12</v>
      </c>
      <c r="E25" s="90"/>
      <c r="H25" s="83" t="s">
        <v>138</v>
      </c>
      <c r="I25" s="29"/>
      <c r="J25" s="36"/>
      <c r="K25" s="29"/>
    </row>
    <row r="26" spans="1:11" s="27" customFormat="1" ht="15.95" customHeight="1" x14ac:dyDescent="0.25">
      <c r="B26" s="207" t="s">
        <v>63</v>
      </c>
      <c r="C26" s="207"/>
      <c r="D26" s="54" t="s">
        <v>6</v>
      </c>
      <c r="E26" s="88">
        <v>719.56</v>
      </c>
      <c r="H26" s="83" t="s">
        <v>139</v>
      </c>
      <c r="I26" s="29"/>
      <c r="J26" s="36"/>
      <c r="K26" s="29"/>
    </row>
    <row r="27" spans="1:11" s="27" customFormat="1" ht="15.95" customHeight="1" x14ac:dyDescent="0.25">
      <c r="B27" s="207" t="s">
        <v>7</v>
      </c>
      <c r="C27" s="207"/>
      <c r="D27" s="54" t="s">
        <v>8</v>
      </c>
      <c r="E27" s="89">
        <v>0.1164</v>
      </c>
      <c r="H27" s="84"/>
      <c r="I27" s="29"/>
      <c r="J27" s="36"/>
      <c r="K27" s="29"/>
    </row>
    <row r="28" spans="1:11" s="27" customFormat="1" ht="15.95" customHeight="1" thickBot="1" x14ac:dyDescent="0.3">
      <c r="B28" s="207" t="s">
        <v>9</v>
      </c>
      <c r="C28" s="207"/>
      <c r="D28" s="54" t="s">
        <v>10</v>
      </c>
      <c r="E28" s="89">
        <v>0.12281499999999999</v>
      </c>
      <c r="H28" s="85"/>
      <c r="I28" s="86"/>
      <c r="J28" s="87"/>
      <c r="K28" s="29"/>
    </row>
    <row r="29" spans="1:11" s="27" customFormat="1" ht="15.95" customHeight="1" x14ac:dyDescent="0.25">
      <c r="B29" s="63"/>
      <c r="C29" s="63"/>
      <c r="D29" s="64"/>
      <c r="E29" s="65"/>
    </row>
    <row r="30" spans="1:11" s="32" customFormat="1" ht="24.95" customHeight="1" x14ac:dyDescent="0.25">
      <c r="A30" s="149" t="s">
        <v>189</v>
      </c>
      <c r="H30" s="62"/>
    </row>
    <row r="31" spans="1:11" s="27" customFormat="1" ht="15.95" customHeight="1" x14ac:dyDescent="0.25">
      <c r="B31" s="44" t="s">
        <v>27</v>
      </c>
      <c r="C31" s="63"/>
      <c r="D31" s="64"/>
      <c r="E31" s="64"/>
      <c r="H31" s="62"/>
    </row>
    <row r="32" spans="1:11" s="27" customFormat="1" ht="15.95" customHeight="1" x14ac:dyDescent="0.25">
      <c r="A32" s="63"/>
      <c r="H32" s="62"/>
    </row>
    <row r="33" spans="1:11" s="27" customFormat="1" ht="20.100000000000001" customHeight="1" x14ac:dyDescent="0.25">
      <c r="B33" s="55" t="s">
        <v>193</v>
      </c>
    </row>
    <row r="34" spans="1:11" s="62" customFormat="1" ht="15.95" customHeight="1" x14ac:dyDescent="0.25">
      <c r="A34" s="28"/>
      <c r="B34" s="44" t="s">
        <v>28</v>
      </c>
    </row>
    <row r="35" spans="1:11" s="62" customFormat="1" ht="15.95" customHeight="1" x14ac:dyDescent="0.25"/>
    <row r="36" spans="1:11" ht="24.95" customHeight="1" x14ac:dyDescent="0.3">
      <c r="A36" s="14"/>
      <c r="B36" s="151" t="s">
        <v>134</v>
      </c>
    </row>
    <row r="37" spans="1:11" s="27" customFormat="1" ht="15.95" customHeight="1" x14ac:dyDescent="0.25"/>
    <row r="38" spans="1:11" s="27" customFormat="1" ht="24.95" customHeight="1" x14ac:dyDescent="0.25">
      <c r="B38" s="153" t="s">
        <v>32</v>
      </c>
      <c r="E38" s="29"/>
      <c r="G38" s="144" t="s">
        <v>13</v>
      </c>
      <c r="H38" s="144"/>
      <c r="I38" s="144"/>
      <c r="J38" s="62"/>
      <c r="K38" s="62"/>
    </row>
    <row r="39" spans="1:11" s="27" customFormat="1" ht="15.95" customHeight="1" x14ac:dyDescent="0.25">
      <c r="B39" s="208" t="s">
        <v>136</v>
      </c>
      <c r="C39" s="208"/>
      <c r="D39" s="208"/>
      <c r="E39" s="91">
        <f>E26</f>
        <v>719.56</v>
      </c>
      <c r="G39" s="200"/>
      <c r="H39" s="201"/>
      <c r="I39" s="202"/>
      <c r="J39" s="62"/>
      <c r="K39" s="62"/>
    </row>
    <row r="40" spans="1:11" s="27" customFormat="1" ht="15.95" customHeight="1" x14ac:dyDescent="0.25">
      <c r="B40" s="208" t="s">
        <v>14</v>
      </c>
      <c r="C40" s="208"/>
      <c r="D40" s="211"/>
      <c r="E40" s="92">
        <f>(E22*E23)/(1-(1/POWER((1+E23),E24)))</f>
        <v>719.56484658320153</v>
      </c>
      <c r="G40" s="93" t="s">
        <v>137</v>
      </c>
      <c r="H40" s="142"/>
      <c r="I40" s="145"/>
      <c r="J40" s="62"/>
      <c r="K40" s="62"/>
    </row>
    <row r="41" spans="1:11" s="27" customFormat="1" ht="15.95" customHeight="1" x14ac:dyDescent="0.25">
      <c r="D41" s="209" t="str">
        <f>IF(OR(($E$40-$E$39)&gt;0.1,($E$40-$E$39)&lt;-0.1),"DIVERGENTE","")</f>
        <v/>
      </c>
      <c r="E41" s="210"/>
    </row>
    <row r="42" spans="1:11" s="27" customFormat="1" ht="15.95" customHeight="1" x14ac:dyDescent="0.25">
      <c r="B42" s="44" t="s">
        <v>116</v>
      </c>
    </row>
    <row r="43" spans="1:11" s="27" customFormat="1" ht="15.95" customHeight="1" x14ac:dyDescent="0.25">
      <c r="B43" s="44" t="s">
        <v>117</v>
      </c>
    </row>
    <row r="44" spans="1:11" s="27" customFormat="1" ht="15.95" customHeight="1" x14ac:dyDescent="0.25"/>
    <row r="45" spans="1:11" ht="24.95" customHeight="1" x14ac:dyDescent="0.3">
      <c r="A45" s="14"/>
      <c r="B45" s="151" t="s">
        <v>135</v>
      </c>
    </row>
    <row r="46" spans="1:11" s="27" customFormat="1" ht="15.95" customHeight="1" x14ac:dyDescent="0.25">
      <c r="F46" s="31"/>
      <c r="H46" s="94"/>
      <c r="I46" s="95"/>
      <c r="J46" s="94"/>
    </row>
    <row r="47" spans="1:11" s="27" customFormat="1" ht="24.95" customHeight="1" x14ac:dyDescent="0.25">
      <c r="A47" s="30"/>
      <c r="B47" s="153" t="s">
        <v>33</v>
      </c>
      <c r="C47" s="38"/>
      <c r="D47" s="38"/>
      <c r="E47" s="44"/>
      <c r="F47" s="31"/>
      <c r="H47" s="31"/>
      <c r="I47" s="31"/>
      <c r="J47" s="31"/>
    </row>
    <row r="48" spans="1:11" s="62" customFormat="1" ht="15.95" customHeight="1" x14ac:dyDescent="0.25">
      <c r="A48" s="28"/>
      <c r="B48" s="208" t="s">
        <v>42</v>
      </c>
      <c r="C48" s="208"/>
      <c r="D48" s="100">
        <f>E23</f>
        <v>9.7000000000000003E-3</v>
      </c>
      <c r="E48" s="44"/>
      <c r="F48" s="31"/>
    </row>
    <row r="49" spans="1:11" s="62" customFormat="1" ht="15.95" customHeight="1" x14ac:dyDescent="0.25">
      <c r="B49" s="186" t="s">
        <v>43</v>
      </c>
      <c r="C49" s="186"/>
      <c r="D49" s="100">
        <f>E27</f>
        <v>0.1164</v>
      </c>
      <c r="E49" s="44"/>
      <c r="F49" s="31"/>
    </row>
    <row r="50" spans="1:11" s="62" customFormat="1" ht="15.95" customHeight="1" x14ac:dyDescent="0.25">
      <c r="B50" s="186" t="s">
        <v>44</v>
      </c>
      <c r="C50" s="186"/>
      <c r="D50" s="100">
        <f>E28</f>
        <v>0.12281499999999999</v>
      </c>
      <c r="E50" s="44"/>
      <c r="F50" s="31"/>
    </row>
    <row r="51" spans="1:11" s="62" customFormat="1" ht="15.95" customHeight="1" x14ac:dyDescent="0.25">
      <c r="B51" s="96"/>
      <c r="C51" s="96"/>
      <c r="D51" s="97"/>
      <c r="F51" s="98"/>
    </row>
    <row r="52" spans="1:11" s="27" customFormat="1" ht="24.95" customHeight="1" x14ac:dyDescent="0.25">
      <c r="B52" s="153" t="s">
        <v>34</v>
      </c>
      <c r="C52" s="38"/>
      <c r="D52" s="38"/>
      <c r="F52" s="143" t="s">
        <v>13</v>
      </c>
      <c r="G52" s="143"/>
      <c r="H52" s="143"/>
      <c r="I52" s="143"/>
    </row>
    <row r="53" spans="1:11" s="27" customFormat="1" ht="15.95" customHeight="1" x14ac:dyDescent="0.25">
      <c r="B53" s="208" t="s">
        <v>29</v>
      </c>
      <c r="C53" s="208"/>
      <c r="D53" s="100">
        <f>E27/12</f>
        <v>9.7000000000000003E-3</v>
      </c>
      <c r="F53" s="204" t="s">
        <v>15</v>
      </c>
      <c r="G53" s="204"/>
      <c r="H53" s="205" t="s">
        <v>38</v>
      </c>
      <c r="I53" s="206"/>
    </row>
    <row r="54" spans="1:11" s="27" customFormat="1" ht="15.95" customHeight="1" x14ac:dyDescent="0.25">
      <c r="B54" s="208" t="s">
        <v>30</v>
      </c>
      <c r="C54" s="211"/>
      <c r="D54" s="101">
        <f>(1+E28)^(1/12)-1</f>
        <v>9.6999865825335707E-3</v>
      </c>
      <c r="F54" s="204" t="s">
        <v>16</v>
      </c>
      <c r="G54" s="204"/>
      <c r="H54" s="205" t="s">
        <v>39</v>
      </c>
      <c r="I54" s="206"/>
    </row>
    <row r="55" spans="1:11" s="27" customFormat="1" ht="15.95" customHeight="1" x14ac:dyDescent="0.25">
      <c r="C55" s="187" t="str">
        <f>IF(OR(($D$53-$D$48)&gt;0.0001,($D$53-$D$48)&lt;-0.0001,($D$54-$D$48)&gt;0.0001,($D$54-$D$48)&lt;-0.0001),"DIVERGENTE","")</f>
        <v/>
      </c>
      <c r="D55" s="188"/>
    </row>
    <row r="56" spans="1:11" s="27" customFormat="1" ht="15.95" customHeight="1" x14ac:dyDescent="0.25">
      <c r="B56" s="44" t="s">
        <v>55</v>
      </c>
    </row>
    <row r="57" spans="1:11" s="27" customFormat="1" ht="15.95" customHeight="1" x14ac:dyDescent="0.25">
      <c r="B57" s="44" t="s">
        <v>40</v>
      </c>
      <c r="I57" s="99"/>
    </row>
    <row r="58" spans="1:11" s="27" customFormat="1" ht="15.95" customHeight="1" x14ac:dyDescent="0.25">
      <c r="B58" s="44" t="s">
        <v>41</v>
      </c>
    </row>
    <row r="59" spans="1:11" s="27" customFormat="1" ht="15.95" customHeight="1" x14ac:dyDescent="0.25">
      <c r="B59" s="44" t="s">
        <v>95</v>
      </c>
    </row>
    <row r="60" spans="1:11" s="27" customFormat="1" ht="15.95" customHeight="1" x14ac:dyDescent="0.25"/>
    <row r="61" spans="1:11" s="32" customFormat="1" ht="24.95" customHeight="1" x14ac:dyDescent="0.25">
      <c r="A61" s="149" t="s">
        <v>223</v>
      </c>
    </row>
    <row r="62" spans="1:11" s="27" customFormat="1" ht="15.95" customHeight="1" x14ac:dyDescent="0.25">
      <c r="B62" s="44" t="s">
        <v>222</v>
      </c>
    </row>
    <row r="63" spans="1:11" s="27" customFormat="1" ht="15.95" customHeight="1" x14ac:dyDescent="0.25">
      <c r="B63" s="78" t="s">
        <v>141</v>
      </c>
      <c r="C63" s="46"/>
      <c r="D63" s="46"/>
      <c r="E63" s="46"/>
      <c r="H63" s="198" t="str">
        <f ca="1">$C$113</f>
        <v/>
      </c>
      <c r="I63" s="199"/>
      <c r="K63" s="165" t="str">
        <f ca="1">IF($C$113&lt;&gt;"","CLIQUE AQUI PARA ATUALIZAR A TABELA 06","")</f>
        <v/>
      </c>
    </row>
    <row r="64" spans="1:11" s="27" customFormat="1" ht="15.95" customHeight="1" x14ac:dyDescent="0.25">
      <c r="B64" s="44" t="s">
        <v>224</v>
      </c>
    </row>
    <row r="65" spans="1:9" s="27" customFormat="1" ht="15.95" customHeight="1" x14ac:dyDescent="0.25"/>
    <row r="66" spans="1:9" s="32" customFormat="1" ht="24.95" customHeight="1" x14ac:dyDescent="0.25">
      <c r="A66" s="148" t="s">
        <v>227</v>
      </c>
    </row>
    <row r="67" spans="1:9" s="27" customFormat="1" ht="15.95" customHeight="1" x14ac:dyDescent="0.25">
      <c r="B67" s="27" t="s">
        <v>150</v>
      </c>
    </row>
    <row r="68" spans="1:9" s="27" customFormat="1" ht="15.95" customHeight="1" x14ac:dyDescent="0.25">
      <c r="B68" s="27" t="s">
        <v>36</v>
      </c>
    </row>
    <row r="69" spans="1:9" s="27" customFormat="1" ht="15.95" customHeight="1" x14ac:dyDescent="0.25">
      <c r="B69" s="27" t="s">
        <v>118</v>
      </c>
    </row>
    <row r="70" spans="1:9" s="27" customFormat="1" ht="15.95" customHeight="1" x14ac:dyDescent="0.25">
      <c r="B70" s="27" t="s">
        <v>70</v>
      </c>
    </row>
    <row r="71" spans="1:9" s="27" customFormat="1" ht="15.95" customHeight="1" x14ac:dyDescent="0.25"/>
    <row r="72" spans="1:9" s="27" customFormat="1" ht="24.95" customHeight="1" x14ac:dyDescent="0.25">
      <c r="B72" s="152" t="s">
        <v>66</v>
      </c>
      <c r="G72" s="9"/>
      <c r="H72" s="9"/>
      <c r="I72" s="9"/>
    </row>
    <row r="73" spans="1:9" s="27" customFormat="1" ht="15.95" customHeight="1" x14ac:dyDescent="0.25">
      <c r="B73" s="53" t="s">
        <v>17</v>
      </c>
      <c r="C73" s="53" t="s">
        <v>18</v>
      </c>
      <c r="D73" s="53" t="s">
        <v>23</v>
      </c>
      <c r="E73" s="53" t="s">
        <v>113</v>
      </c>
    </row>
    <row r="74" spans="1:9" s="27" customFormat="1" ht="15.95" customHeight="1" x14ac:dyDescent="0.25">
      <c r="B74" s="66">
        <f>$E$40</f>
        <v>719.56484658320153</v>
      </c>
      <c r="C74" s="67">
        <f>$E$40*$E$24</f>
        <v>10793.472698748023</v>
      </c>
      <c r="D74" s="67">
        <f>$E$22</f>
        <v>10000</v>
      </c>
      <c r="E74" s="67">
        <f>C74-D74</f>
        <v>793.47269874802259</v>
      </c>
    </row>
    <row r="75" spans="1:9" s="27" customFormat="1" ht="15.95" customHeight="1" x14ac:dyDescent="0.25">
      <c r="B75" s="102"/>
      <c r="C75" s="69"/>
      <c r="D75" s="69"/>
      <c r="E75" s="69"/>
    </row>
    <row r="76" spans="1:9" s="27" customFormat="1" ht="15.95" customHeight="1" x14ac:dyDescent="0.25">
      <c r="B76" s="27" t="s">
        <v>85</v>
      </c>
      <c r="C76" s="69"/>
      <c r="D76" s="69"/>
      <c r="E76" s="69"/>
    </row>
    <row r="77" spans="1:9" s="27" customFormat="1" ht="15.95" customHeight="1" x14ac:dyDescent="0.25">
      <c r="B77" s="27" t="s">
        <v>86</v>
      </c>
      <c r="C77" s="69"/>
      <c r="D77" s="69"/>
      <c r="E77" s="69"/>
    </row>
    <row r="78" spans="1:9" s="27" customFormat="1" ht="15.95" customHeight="1" x14ac:dyDescent="0.25">
      <c r="C78" s="103"/>
      <c r="D78" s="103"/>
      <c r="E78" s="103"/>
      <c r="F78" s="103"/>
    </row>
    <row r="79" spans="1:9" s="32" customFormat="1" ht="24.95" customHeight="1" x14ac:dyDescent="0.25">
      <c r="A79" s="148" t="s">
        <v>228</v>
      </c>
    </row>
    <row r="80" spans="1:9" s="27" customFormat="1" ht="15.95" customHeight="1" x14ac:dyDescent="0.25">
      <c r="B80" s="27" t="s">
        <v>169</v>
      </c>
    </row>
    <row r="81" spans="2:10" s="27" customFormat="1" ht="15.95" customHeight="1" x14ac:dyDescent="0.25">
      <c r="B81" s="27" t="s">
        <v>146</v>
      </c>
    </row>
    <row r="82" spans="2:10" s="27" customFormat="1" ht="15.95" customHeight="1" x14ac:dyDescent="0.25">
      <c r="B82" s="27" t="s">
        <v>147</v>
      </c>
    </row>
    <row r="83" spans="2:10" s="27" customFormat="1" ht="15.95" customHeight="1" x14ac:dyDescent="0.25">
      <c r="B83" s="27" t="s">
        <v>148</v>
      </c>
    </row>
    <row r="84" spans="2:10" s="27" customFormat="1" ht="15.95" customHeight="1" x14ac:dyDescent="0.25">
      <c r="B84" s="27" t="s">
        <v>149</v>
      </c>
    </row>
    <row r="85" spans="2:10" s="27" customFormat="1" ht="15.95" customHeight="1" x14ac:dyDescent="0.25">
      <c r="B85" s="27" t="s">
        <v>72</v>
      </c>
    </row>
    <row r="86" spans="2:10" s="27" customFormat="1" ht="15.95" customHeight="1" x14ac:dyDescent="0.25"/>
    <row r="87" spans="2:10" s="27" customFormat="1" ht="15.95" customHeight="1" x14ac:dyDescent="0.25">
      <c r="B87" s="62" t="s">
        <v>172</v>
      </c>
    </row>
    <row r="88" spans="2:10" s="27" customFormat="1" ht="15.95" customHeight="1" x14ac:dyDescent="0.25">
      <c r="B88" s="62" t="s">
        <v>190</v>
      </c>
    </row>
    <row r="89" spans="2:10" s="27" customFormat="1" ht="15.95" customHeight="1" x14ac:dyDescent="0.25">
      <c r="B89" s="62" t="s">
        <v>191</v>
      </c>
    </row>
    <row r="90" spans="2:10" s="27" customFormat="1" ht="15.95" customHeight="1" x14ac:dyDescent="0.25">
      <c r="B90" s="62" t="s">
        <v>277</v>
      </c>
    </row>
    <row r="91" spans="2:10" s="27" customFormat="1" ht="15.95" customHeight="1" x14ac:dyDescent="0.25">
      <c r="B91" s="62" t="s">
        <v>278</v>
      </c>
      <c r="E91" s="164" t="s">
        <v>61</v>
      </c>
    </row>
    <row r="92" spans="2:10" s="27" customFormat="1" ht="15.95" customHeight="1" x14ac:dyDescent="0.25">
      <c r="B92" s="104"/>
    </row>
    <row r="93" spans="2:10" ht="24.95" customHeight="1" x14ac:dyDescent="0.25">
      <c r="B93" s="152" t="s">
        <v>65</v>
      </c>
    </row>
    <row r="94" spans="2:10" s="27" customFormat="1" ht="20.100000000000001" customHeight="1" x14ac:dyDescent="0.25">
      <c r="B94" s="195" t="s">
        <v>19</v>
      </c>
      <c r="C94" s="192" t="s">
        <v>119</v>
      </c>
      <c r="D94" s="193"/>
      <c r="E94" s="193"/>
      <c r="F94" s="194"/>
      <c r="G94" s="192" t="s">
        <v>120</v>
      </c>
      <c r="H94" s="193"/>
      <c r="I94" s="193"/>
      <c r="J94" s="194"/>
    </row>
    <row r="95" spans="2:10" ht="20.100000000000001" customHeight="1" x14ac:dyDescent="0.25">
      <c r="B95" s="196"/>
      <c r="C95" s="197" t="s">
        <v>31</v>
      </c>
      <c r="D95" s="197"/>
      <c r="E95" s="197"/>
      <c r="F95" s="197"/>
      <c r="G95" s="203" t="s">
        <v>73</v>
      </c>
      <c r="H95" s="203"/>
      <c r="I95" s="203"/>
      <c r="J95" s="203"/>
    </row>
    <row r="96" spans="2:10" ht="20.100000000000001" customHeight="1" x14ac:dyDescent="0.25">
      <c r="B96" s="197"/>
      <c r="C96" s="16" t="s">
        <v>17</v>
      </c>
      <c r="D96" s="17" t="s">
        <v>20</v>
      </c>
      <c r="E96" s="16" t="s">
        <v>35</v>
      </c>
      <c r="F96" s="16" t="s">
        <v>21</v>
      </c>
      <c r="G96" s="17" t="s">
        <v>24</v>
      </c>
      <c r="H96" s="16" t="s">
        <v>21</v>
      </c>
      <c r="I96" s="17" t="s">
        <v>25</v>
      </c>
      <c r="J96" s="16" t="s">
        <v>21</v>
      </c>
    </row>
    <row r="97" spans="2:10" ht="15.95" customHeight="1" x14ac:dyDescent="0.25">
      <c r="B97" s="11">
        <v>1</v>
      </c>
      <c r="C97" s="10">
        <f t="shared" ref="C97:C111" si="0">$E$40</f>
        <v>719.56484658320153</v>
      </c>
      <c r="D97" s="10">
        <f>C97/POWER(1+$E$23,B97)</f>
        <v>712.65212100941017</v>
      </c>
      <c r="E97" s="10">
        <f t="shared" ref="E97:E111" si="1">C97-D97</f>
        <v>6.9127255737913629</v>
      </c>
      <c r="F97" s="12">
        <f t="shared" ref="F97:F111" si="2">E97/D97</f>
        <v>9.7000000000001182E-3</v>
      </c>
      <c r="G97" s="10">
        <f>$E$23*D97*B97</f>
        <v>6.9127255737912785</v>
      </c>
      <c r="H97" s="12">
        <f t="shared" ref="H97:H111" si="3">G97/D97</f>
        <v>9.7000000000000003E-3</v>
      </c>
      <c r="I97" s="10">
        <f t="shared" ref="I97:I111" si="4">E97-G97</f>
        <v>8.4376949871511897E-14</v>
      </c>
      <c r="J97" s="12">
        <f t="shared" ref="J97:J111" si="5">I97/D97</f>
        <v>1.1839851083583282E-16</v>
      </c>
    </row>
    <row r="98" spans="2:10" ht="15.95" customHeight="1" x14ac:dyDescent="0.25">
      <c r="B98" s="13">
        <f t="shared" ref="B98:B111" si="6">B97+1</f>
        <v>2</v>
      </c>
      <c r="C98" s="10">
        <f t="shared" si="0"/>
        <v>719.56484658320153</v>
      </c>
      <c r="D98" s="10">
        <f t="shared" ref="D98:D111" si="7">C98/POWER(1+$E$23,B98)</f>
        <v>705.80580470378356</v>
      </c>
      <c r="E98" s="10">
        <f t="shared" si="1"/>
        <v>13.759041879417964</v>
      </c>
      <c r="F98" s="12">
        <f t="shared" si="2"/>
        <v>1.9494089999999978E-2</v>
      </c>
      <c r="G98" s="10">
        <f t="shared" ref="G98:G111" si="8">$E$23*D98*B98</f>
        <v>13.692632611253401</v>
      </c>
      <c r="H98" s="12">
        <f t="shared" si="3"/>
        <v>1.9400000000000001E-2</v>
      </c>
      <c r="I98" s="10">
        <f t="shared" si="4"/>
        <v>6.6409268164562718E-2</v>
      </c>
      <c r="J98" s="12">
        <f t="shared" si="5"/>
        <v>9.4089999999976936E-5</v>
      </c>
    </row>
    <row r="99" spans="2:10" ht="15.95" customHeight="1" x14ac:dyDescent="0.25">
      <c r="B99" s="13">
        <f t="shared" si="6"/>
        <v>3</v>
      </c>
      <c r="C99" s="10">
        <f t="shared" si="0"/>
        <v>719.56484658320153</v>
      </c>
      <c r="D99" s="10">
        <f t="shared" si="7"/>
        <v>699.02525968484065</v>
      </c>
      <c r="E99" s="10">
        <f t="shared" si="1"/>
        <v>20.539586898360881</v>
      </c>
      <c r="F99" s="12">
        <f t="shared" si="2"/>
        <v>2.938318267299992E-2</v>
      </c>
      <c r="G99" s="10">
        <f t="shared" si="8"/>
        <v>20.341635056828864</v>
      </c>
      <c r="H99" s="12">
        <f t="shared" si="3"/>
        <v>2.9100000000000001E-2</v>
      </c>
      <c r="I99" s="10">
        <f t="shared" si="4"/>
        <v>0.19795184153201717</v>
      </c>
      <c r="J99" s="12">
        <f t="shared" si="5"/>
        <v>2.8318267299992113E-4</v>
      </c>
    </row>
    <row r="100" spans="2:10" ht="15.95" customHeight="1" x14ac:dyDescent="0.25">
      <c r="B100" s="13">
        <f t="shared" si="6"/>
        <v>4</v>
      </c>
      <c r="C100" s="10">
        <f t="shared" si="0"/>
        <v>719.56484658320153</v>
      </c>
      <c r="D100" s="10">
        <f t="shared" si="7"/>
        <v>692.30985410006986</v>
      </c>
      <c r="E100" s="10">
        <f t="shared" si="1"/>
        <v>27.254992483131673</v>
      </c>
      <c r="F100" s="12">
        <f t="shared" si="2"/>
        <v>3.9368199544928192E-2</v>
      </c>
      <c r="G100" s="10">
        <f t="shared" si="8"/>
        <v>26.861622339082711</v>
      </c>
      <c r="H100" s="12">
        <f t="shared" si="3"/>
        <v>3.8800000000000001E-2</v>
      </c>
      <c r="I100" s="10">
        <f t="shared" si="4"/>
        <v>0.39337014404896209</v>
      </c>
      <c r="J100" s="12">
        <f t="shared" si="5"/>
        <v>5.6819954492819114E-4</v>
      </c>
    </row>
    <row r="101" spans="2:10" ht="15.95" customHeight="1" x14ac:dyDescent="0.25">
      <c r="B101" s="13">
        <f t="shared" si="6"/>
        <v>5</v>
      </c>
      <c r="C101" s="10">
        <f t="shared" si="0"/>
        <v>719.56484658320153</v>
      </c>
      <c r="D101" s="10">
        <f t="shared" si="7"/>
        <v>685.65896216704937</v>
      </c>
      <c r="E101" s="10">
        <f t="shared" si="1"/>
        <v>33.905884416152162</v>
      </c>
      <c r="F101" s="12">
        <f t="shared" si="2"/>
        <v>4.9450071080514163E-2</v>
      </c>
      <c r="G101" s="10">
        <f t="shared" si="8"/>
        <v>33.254459665101891</v>
      </c>
      <c r="H101" s="12">
        <f t="shared" si="3"/>
        <v>4.8499999999999995E-2</v>
      </c>
      <c r="I101" s="10">
        <f t="shared" si="4"/>
        <v>0.65142475105027131</v>
      </c>
      <c r="J101" s="12">
        <f t="shared" si="5"/>
        <v>9.5007108051416752E-4</v>
      </c>
    </row>
    <row r="102" spans="2:10" ht="15.95" customHeight="1" x14ac:dyDescent="0.25">
      <c r="B102" s="13">
        <f t="shared" si="6"/>
        <v>6</v>
      </c>
      <c r="C102" s="10">
        <f t="shared" si="0"/>
        <v>719.56484658320153</v>
      </c>
      <c r="D102" s="10">
        <f t="shared" si="7"/>
        <v>679.07196411513269</v>
      </c>
      <c r="E102" s="10">
        <f t="shared" si="1"/>
        <v>40.492882468068842</v>
      </c>
      <c r="F102" s="12">
        <f t="shared" si="2"/>
        <v>5.9629736769994987E-2</v>
      </c>
      <c r="G102" s="10">
        <f t="shared" si="8"/>
        <v>39.521988311500728</v>
      </c>
      <c r="H102" s="12">
        <f t="shared" si="3"/>
        <v>5.8200000000000009E-2</v>
      </c>
      <c r="I102" s="10">
        <f t="shared" si="4"/>
        <v>0.9708941565681144</v>
      </c>
      <c r="J102" s="12">
        <f t="shared" si="5"/>
        <v>1.4297367699949764E-3</v>
      </c>
    </row>
    <row r="103" spans="2:10" ht="15.95" customHeight="1" x14ac:dyDescent="0.25">
      <c r="B103" s="13">
        <f t="shared" si="6"/>
        <v>7</v>
      </c>
      <c r="C103" s="10">
        <f t="shared" si="0"/>
        <v>719.56484658320153</v>
      </c>
      <c r="D103" s="10">
        <f t="shared" si="7"/>
        <v>672.54824612769414</v>
      </c>
      <c r="E103" s="10">
        <f t="shared" si="1"/>
        <v>47.016600455507387</v>
      </c>
      <c r="F103" s="12">
        <f t="shared" si="2"/>
        <v>6.9908145216663803E-2</v>
      </c>
      <c r="G103" s="10">
        <f t="shared" si="8"/>
        <v>45.666025912070438</v>
      </c>
      <c r="H103" s="12">
        <f t="shared" si="3"/>
        <v>6.7900000000000002E-2</v>
      </c>
      <c r="I103" s="10">
        <f t="shared" si="4"/>
        <v>1.3505745434369487</v>
      </c>
      <c r="J103" s="12">
        <f t="shared" si="5"/>
        <v>2.0081452166637874E-3</v>
      </c>
    </row>
    <row r="104" spans="2:10" ht="15.95" customHeight="1" x14ac:dyDescent="0.25">
      <c r="B104" s="13">
        <f t="shared" si="6"/>
        <v>8</v>
      </c>
      <c r="C104" s="10">
        <f t="shared" si="0"/>
        <v>719.56484658320153</v>
      </c>
      <c r="D104" s="10">
        <f t="shared" si="7"/>
        <v>666.08720028493008</v>
      </c>
      <c r="E104" s="10">
        <f t="shared" si="1"/>
        <v>53.477646298271452</v>
      </c>
      <c r="F104" s="12">
        <f t="shared" si="2"/>
        <v>8.0286254225265821E-2</v>
      </c>
      <c r="G104" s="10">
        <f t="shared" si="8"/>
        <v>51.688366742110574</v>
      </c>
      <c r="H104" s="12">
        <f t="shared" si="3"/>
        <v>7.7600000000000002E-2</v>
      </c>
      <c r="I104" s="10">
        <f t="shared" si="4"/>
        <v>1.7892795561608779</v>
      </c>
      <c r="J104" s="12">
        <f t="shared" si="5"/>
        <v>2.6862542252658259E-3</v>
      </c>
    </row>
    <row r="105" spans="2:10" ht="15.95" customHeight="1" x14ac:dyDescent="0.25">
      <c r="B105" s="13">
        <f t="shared" si="6"/>
        <v>9</v>
      </c>
      <c r="C105" s="10">
        <f t="shared" si="0"/>
        <v>719.56484658320153</v>
      </c>
      <c r="D105" s="10">
        <f t="shared" si="7"/>
        <v>659.68822450721018</v>
      </c>
      <c r="E105" s="10">
        <f t="shared" si="1"/>
        <v>59.876622075991349</v>
      </c>
      <c r="F105" s="12">
        <f t="shared" si="2"/>
        <v>9.0765030891250834E-2</v>
      </c>
      <c r="G105" s="10">
        <f t="shared" si="8"/>
        <v>57.590781999479454</v>
      </c>
      <c r="H105" s="12">
        <f t="shared" si="3"/>
        <v>8.7300000000000003E-2</v>
      </c>
      <c r="I105" s="10">
        <f t="shared" si="4"/>
        <v>2.2858400765118958</v>
      </c>
      <c r="J105" s="12">
        <f t="shared" si="5"/>
        <v>3.4650308912508297E-3</v>
      </c>
    </row>
    <row r="106" spans="2:10" ht="15.95" customHeight="1" x14ac:dyDescent="0.25">
      <c r="B106" s="13">
        <f t="shared" si="6"/>
        <v>10</v>
      </c>
      <c r="C106" s="10">
        <f t="shared" si="0"/>
        <v>719.56484658320153</v>
      </c>
      <c r="D106" s="10">
        <f t="shared" si="7"/>
        <v>653.35072249897019</v>
      </c>
      <c r="E106" s="10">
        <f t="shared" si="1"/>
        <v>66.214124084231344</v>
      </c>
      <c r="F106" s="12">
        <f t="shared" si="2"/>
        <v>0.10134545169089594</v>
      </c>
      <c r="G106" s="10">
        <f t="shared" si="8"/>
        <v>63.375020082400113</v>
      </c>
      <c r="H106" s="12">
        <f t="shared" si="3"/>
        <v>9.7000000000000003E-2</v>
      </c>
      <c r="I106" s="10">
        <f t="shared" si="4"/>
        <v>2.839104001831231</v>
      </c>
      <c r="J106" s="12">
        <f t="shared" si="5"/>
        <v>4.3454516908959353E-3</v>
      </c>
    </row>
    <row r="107" spans="2:10" ht="15.95" customHeight="1" x14ac:dyDescent="0.25">
      <c r="B107" s="13">
        <f t="shared" si="6"/>
        <v>11</v>
      </c>
      <c r="C107" s="10">
        <f t="shared" si="0"/>
        <v>719.56484658320153</v>
      </c>
      <c r="D107" s="10">
        <f t="shared" si="7"/>
        <v>647.07410369314653</v>
      </c>
      <c r="E107" s="10">
        <f t="shared" si="1"/>
        <v>72.490742890055003</v>
      </c>
      <c r="F107" s="12">
        <f t="shared" si="2"/>
        <v>0.11202850257229786</v>
      </c>
      <c r="G107" s="10">
        <f t="shared" si="8"/>
        <v>69.042806864058733</v>
      </c>
      <c r="H107" s="12">
        <f t="shared" si="3"/>
        <v>0.1067</v>
      </c>
      <c r="I107" s="10">
        <f t="shared" si="4"/>
        <v>3.4479360259962704</v>
      </c>
      <c r="J107" s="12">
        <f t="shared" si="5"/>
        <v>5.3285025722978703E-3</v>
      </c>
    </row>
    <row r="108" spans="2:10" s="23" customFormat="1" ht="15.95" customHeight="1" x14ac:dyDescent="0.25">
      <c r="B108" s="20">
        <f t="shared" si="6"/>
        <v>12</v>
      </c>
      <c r="C108" s="21">
        <f t="shared" si="0"/>
        <v>719.56484658320153</v>
      </c>
      <c r="D108" s="21">
        <f t="shared" si="7"/>
        <v>640.85778319614394</v>
      </c>
      <c r="E108" s="21">
        <f t="shared" si="1"/>
        <v>78.707063387057588</v>
      </c>
      <c r="F108" s="22">
        <f t="shared" si="2"/>
        <v>0.12281517904724913</v>
      </c>
      <c r="G108" s="21">
        <f t="shared" si="8"/>
        <v>74.595845964031156</v>
      </c>
      <c r="H108" s="22">
        <f t="shared" si="3"/>
        <v>0.1164</v>
      </c>
      <c r="I108" s="21">
        <f t="shared" si="4"/>
        <v>4.1112174230264316</v>
      </c>
      <c r="J108" s="22">
        <f t="shared" si="5"/>
        <v>6.4151790472491352E-3</v>
      </c>
    </row>
    <row r="109" spans="2:10" s="23" customFormat="1" ht="15.95" customHeight="1" x14ac:dyDescent="0.25">
      <c r="B109" s="20">
        <f t="shared" si="6"/>
        <v>13</v>
      </c>
      <c r="C109" s="21">
        <f t="shared" si="0"/>
        <v>719.56484658320153</v>
      </c>
      <c r="D109" s="21">
        <f t="shared" si="7"/>
        <v>634.7011817333306</v>
      </c>
      <c r="E109" s="21">
        <f t="shared" si="1"/>
        <v>84.863664849870929</v>
      </c>
      <c r="F109" s="22">
        <f t="shared" si="2"/>
        <v>0.13370648628400753</v>
      </c>
      <c r="G109" s="21">
        <f t="shared" si="8"/>
        <v>80.035819016572987</v>
      </c>
      <c r="H109" s="22">
        <f t="shared" si="3"/>
        <v>0.12609999999999999</v>
      </c>
      <c r="I109" s="21">
        <f t="shared" si="4"/>
        <v>4.8278458332979426</v>
      </c>
      <c r="J109" s="22">
        <f t="shared" si="5"/>
        <v>7.6064862840075189E-3</v>
      </c>
    </row>
    <row r="110" spans="2:10" s="23" customFormat="1" ht="15.95" customHeight="1" x14ac:dyDescent="0.25">
      <c r="B110" s="20">
        <f t="shared" si="6"/>
        <v>14</v>
      </c>
      <c r="C110" s="21">
        <f t="shared" si="0"/>
        <v>719.56484658320153</v>
      </c>
      <c r="D110" s="21">
        <f t="shared" si="7"/>
        <v>628.60372559505856</v>
      </c>
      <c r="E110" s="21">
        <f t="shared" si="1"/>
        <v>90.961120988142966</v>
      </c>
      <c r="F110" s="22">
        <f t="shared" si="2"/>
        <v>0.14470343920096232</v>
      </c>
      <c r="G110" s="21">
        <f t="shared" si="8"/>
        <v>85.364385935808968</v>
      </c>
      <c r="H110" s="22">
        <f t="shared" si="3"/>
        <v>0.13580000000000003</v>
      </c>
      <c r="I110" s="21">
        <f t="shared" si="4"/>
        <v>5.5967350523339974</v>
      </c>
      <c r="J110" s="22">
        <f t="shared" si="5"/>
        <v>8.9034392009623067E-3</v>
      </c>
    </row>
    <row r="111" spans="2:10" s="23" customFormat="1" ht="15.95" customHeight="1" x14ac:dyDescent="0.25">
      <c r="B111" s="20">
        <f t="shared" si="6"/>
        <v>15</v>
      </c>
      <c r="C111" s="21">
        <f t="shared" si="0"/>
        <v>719.56484658320153</v>
      </c>
      <c r="D111" s="21">
        <f t="shared" si="7"/>
        <v>622.56484658320153</v>
      </c>
      <c r="E111" s="21">
        <f t="shared" si="1"/>
        <v>97</v>
      </c>
      <c r="F111" s="22">
        <f t="shared" si="2"/>
        <v>0.15580706256121163</v>
      </c>
      <c r="G111" s="21">
        <f t="shared" si="8"/>
        <v>90.583185177855825</v>
      </c>
      <c r="H111" s="22">
        <f t="shared" si="3"/>
        <v>0.14549999999999999</v>
      </c>
      <c r="I111" s="21">
        <f t="shared" si="4"/>
        <v>6.4168148221441754</v>
      </c>
      <c r="J111" s="22">
        <f t="shared" si="5"/>
        <v>1.0307062561211625E-2</v>
      </c>
    </row>
    <row r="112" spans="2:10" s="23" customFormat="1" ht="15.95" customHeight="1" x14ac:dyDescent="0.25">
      <c r="B112" s="24" t="s">
        <v>22</v>
      </c>
      <c r="C112" s="25">
        <f ca="1">SUM(C97:INDIRECT(ADDRESS(ROW($C$112)-1,3)))</f>
        <v>10793.472698748026</v>
      </c>
      <c r="D112" s="25">
        <f ca="1">SUM(D97:INDIRECT(ADDRESS(ROW($D$112)-1,4)))</f>
        <v>9999.9999999999709</v>
      </c>
      <c r="E112" s="25">
        <f ca="1">SUM(E97:INDIRECT(ADDRESS(ROW($E$112)-1,5)))</f>
        <v>793.4726987480509</v>
      </c>
      <c r="F112" s="26"/>
      <c r="G112" s="25">
        <f ca="1">SUM(G97:INDIRECT(ADDRESS(ROW($G$112)-1,7)))</f>
        <v>758.52730125194716</v>
      </c>
      <c r="H112" s="26"/>
      <c r="I112" s="25">
        <f ca="1">SUM(I97:INDIRECT(ADDRESS(ROW($I$112)-1,9)))</f>
        <v>34.94539749610378</v>
      </c>
      <c r="J112" s="26"/>
    </row>
    <row r="113" spans="1:11" s="27" customFormat="1" ht="15.95" customHeight="1" thickBot="1" x14ac:dyDescent="0.3">
      <c r="C113" s="189" t="str">
        <f ca="1">IF(OR(($C$112-$C$122)&gt;0.01,($C$112-$C$122)&lt;-0.01,($D$112-$D$122)&gt;0.01,($D$112-$D$122)&lt;-0.01,($E$112-$E$122)&gt;0.01,($E$112-$E$122)&lt;-0.01,($G$112+$I$112-$E$122)&gt;0.01,($G$112+$I$122-$E$122)&lt;-0.01),"FALTA ATUALIZAR A TABELA 06","")</f>
        <v/>
      </c>
      <c r="D113" s="190"/>
      <c r="E113" s="190"/>
      <c r="F113" s="190"/>
      <c r="G113" s="190"/>
      <c r="H113" s="190"/>
      <c r="I113" s="191"/>
    </row>
    <row r="114" spans="1:11" s="27" customFormat="1" ht="24.95" customHeight="1" x14ac:dyDescent="0.25">
      <c r="B114" s="105"/>
      <c r="C114" s="106" t="s">
        <v>71</v>
      </c>
      <c r="D114" s="107"/>
      <c r="E114" s="107"/>
      <c r="F114" s="108"/>
      <c r="G114" s="109"/>
      <c r="H114" s="108"/>
      <c r="I114" s="109"/>
      <c r="J114" s="108"/>
      <c r="K114" s="81"/>
    </row>
    <row r="115" spans="1:11" s="27" customFormat="1" ht="15.95" customHeight="1" x14ac:dyDescent="0.25">
      <c r="B115" s="105"/>
      <c r="C115" s="110" t="s">
        <v>192</v>
      </c>
      <c r="D115" s="111"/>
      <c r="E115" s="111"/>
      <c r="F115" s="112"/>
      <c r="G115" s="68"/>
      <c r="H115" s="112"/>
      <c r="I115" s="68"/>
      <c r="J115" s="112"/>
      <c r="K115" s="36"/>
    </row>
    <row r="116" spans="1:11" s="27" customFormat="1" ht="15.95" customHeight="1" x14ac:dyDescent="0.25">
      <c r="C116" s="82" t="s">
        <v>122</v>
      </c>
      <c r="D116" s="113"/>
      <c r="E116" s="113"/>
      <c r="F116" s="29"/>
      <c r="G116" s="29"/>
      <c r="H116" s="29"/>
      <c r="I116" s="29"/>
      <c r="J116" s="29"/>
      <c r="K116" s="36"/>
    </row>
    <row r="117" spans="1:11" s="27" customFormat="1" ht="15.95" customHeight="1" x14ac:dyDescent="0.25">
      <c r="C117" s="82" t="s">
        <v>123</v>
      </c>
      <c r="D117" s="113"/>
      <c r="E117" s="113"/>
      <c r="F117" s="29"/>
      <c r="G117" s="29"/>
      <c r="H117" s="29"/>
      <c r="I117" s="29"/>
      <c r="J117" s="29"/>
      <c r="K117" s="36"/>
    </row>
    <row r="118" spans="1:11" s="27" customFormat="1" ht="15.95" customHeight="1" x14ac:dyDescent="0.25">
      <c r="B118" s="15"/>
      <c r="C118" s="37" t="s">
        <v>124</v>
      </c>
      <c r="D118" s="114"/>
      <c r="E118" s="114"/>
      <c r="F118" s="15"/>
      <c r="G118" s="15"/>
      <c r="H118" s="29"/>
      <c r="I118" s="29"/>
      <c r="J118" s="29"/>
      <c r="K118" s="36"/>
    </row>
    <row r="119" spans="1:11" s="27" customFormat="1" ht="15.95" customHeight="1" x14ac:dyDescent="0.25">
      <c r="B119" s="15"/>
      <c r="C119" s="35"/>
      <c r="D119" s="15"/>
      <c r="E119" s="15"/>
      <c r="F119" s="15"/>
      <c r="G119" s="15"/>
      <c r="H119" s="29"/>
      <c r="I119" s="29"/>
      <c r="J119" s="29"/>
      <c r="K119" s="36"/>
    </row>
    <row r="120" spans="1:11" s="27" customFormat="1" ht="24.95" customHeight="1" x14ac:dyDescent="0.25">
      <c r="C120" s="154" t="s">
        <v>66</v>
      </c>
      <c r="D120" s="38"/>
      <c r="E120" s="38"/>
      <c r="F120" s="38"/>
      <c r="G120" s="38"/>
      <c r="H120" s="29"/>
      <c r="I120" s="29"/>
      <c r="J120" s="29"/>
      <c r="K120" s="36"/>
    </row>
    <row r="121" spans="1:11" s="27" customFormat="1" ht="20.100000000000001" customHeight="1" x14ac:dyDescent="0.25">
      <c r="C121" s="115" t="s">
        <v>18</v>
      </c>
      <c r="D121" s="116" t="s">
        <v>23</v>
      </c>
      <c r="E121" s="116" t="s">
        <v>37</v>
      </c>
      <c r="F121" s="38"/>
      <c r="G121" s="39" t="s">
        <v>24</v>
      </c>
      <c r="H121" s="29"/>
      <c r="I121" s="39" t="s">
        <v>25</v>
      </c>
      <c r="J121" s="29"/>
      <c r="K121" s="117" t="s">
        <v>37</v>
      </c>
    </row>
    <row r="122" spans="1:11" s="27" customFormat="1" ht="15.95" customHeight="1" thickBot="1" x14ac:dyDescent="0.3">
      <c r="C122" s="118">
        <f>$C$74</f>
        <v>10793.472698748023</v>
      </c>
      <c r="D122" s="119">
        <f>$D$74</f>
        <v>10000</v>
      </c>
      <c r="E122" s="119">
        <f>$E$74</f>
        <v>793.47269874802259</v>
      </c>
      <c r="F122" s="120"/>
      <c r="G122" s="119">
        <f ca="1">G112</f>
        <v>758.52730125194716</v>
      </c>
      <c r="H122" s="86"/>
      <c r="I122" s="119">
        <f ca="1">I112</f>
        <v>34.94539749610378</v>
      </c>
      <c r="J122" s="86"/>
      <c r="K122" s="121">
        <f ca="1">G122+I122</f>
        <v>793.4726987480509</v>
      </c>
    </row>
    <row r="123" spans="1:11" s="27" customFormat="1" ht="15.95" customHeight="1" x14ac:dyDescent="0.25">
      <c r="C123" s="103"/>
      <c r="D123" s="103"/>
      <c r="E123" s="103"/>
      <c r="F123" s="103"/>
    </row>
    <row r="124" spans="1:11" s="32" customFormat="1" ht="24.95" customHeight="1" x14ac:dyDescent="0.25">
      <c r="A124" s="148" t="s">
        <v>229</v>
      </c>
    </row>
    <row r="125" spans="1:11" s="27" customFormat="1" ht="15.95" customHeight="1" x14ac:dyDescent="0.25">
      <c r="B125" s="27" t="s">
        <v>143</v>
      </c>
    </row>
    <row r="126" spans="1:11" s="27" customFormat="1" ht="15.95" customHeight="1" x14ac:dyDescent="0.25"/>
    <row r="127" spans="1:11" s="27" customFormat="1" ht="24.95" customHeight="1" x14ac:dyDescent="0.25">
      <c r="B127" s="152" t="s">
        <v>66</v>
      </c>
    </row>
    <row r="128" spans="1:11" s="27" customFormat="1" ht="20.100000000000001" customHeight="1" x14ac:dyDescent="0.25">
      <c r="B128" s="53" t="s">
        <v>17</v>
      </c>
      <c r="C128" s="53" t="s">
        <v>18</v>
      </c>
      <c r="D128" s="53" t="s">
        <v>23</v>
      </c>
      <c r="E128" s="53" t="s">
        <v>113</v>
      </c>
    </row>
    <row r="129" spans="2:11" s="27" customFormat="1" ht="15.95" customHeight="1" x14ac:dyDescent="0.25">
      <c r="B129" s="66">
        <f>$E$40</f>
        <v>719.56484658320153</v>
      </c>
      <c r="C129" s="67">
        <f>$E$40*$E$24</f>
        <v>10793.472698748023</v>
      </c>
      <c r="D129" s="67">
        <f>$E$22</f>
        <v>10000</v>
      </c>
      <c r="E129" s="67">
        <f>C129-D129</f>
        <v>793.47269874802259</v>
      </c>
    </row>
    <row r="130" spans="2:11" s="27" customFormat="1" ht="15.95" customHeight="1" x14ac:dyDescent="0.25">
      <c r="B130" s="102"/>
      <c r="C130" s="69"/>
      <c r="D130" s="69"/>
      <c r="E130" s="69"/>
    </row>
    <row r="131" spans="2:11" s="27" customFormat="1" ht="15.95" customHeight="1" x14ac:dyDescent="0.25">
      <c r="B131" s="27" t="s">
        <v>194</v>
      </c>
    </row>
    <row r="132" spans="2:11" s="27" customFormat="1" ht="15.95" customHeight="1" x14ac:dyDescent="0.25">
      <c r="B132" s="27" t="s">
        <v>144</v>
      </c>
    </row>
    <row r="133" spans="2:11" s="27" customFormat="1" ht="15.95" customHeight="1" x14ac:dyDescent="0.25">
      <c r="C133" s="69"/>
      <c r="F133" s="69"/>
      <c r="H133" s="69"/>
    </row>
    <row r="134" spans="2:11" s="27" customFormat="1" ht="24.95" customHeight="1" x14ac:dyDescent="0.25">
      <c r="B134" s="152" t="s">
        <v>245</v>
      </c>
      <c r="K134" s="9"/>
    </row>
    <row r="135" spans="2:11" s="27" customFormat="1" ht="20.100000000000001" customHeight="1" x14ac:dyDescent="0.25">
      <c r="B135" s="203" t="s">
        <v>17</v>
      </c>
      <c r="C135" s="203" t="s">
        <v>18</v>
      </c>
      <c r="D135" s="203" t="s">
        <v>23</v>
      </c>
      <c r="E135" s="203" t="s">
        <v>37</v>
      </c>
      <c r="F135" s="203"/>
      <c r="G135" s="203"/>
    </row>
    <row r="136" spans="2:11" s="27" customFormat="1" ht="20.100000000000001" customHeight="1" x14ac:dyDescent="0.25">
      <c r="B136" s="203"/>
      <c r="C136" s="203"/>
      <c r="D136" s="203"/>
      <c r="E136" s="53" t="s">
        <v>24</v>
      </c>
      <c r="F136" s="53" t="s">
        <v>25</v>
      </c>
      <c r="G136" s="53" t="s">
        <v>64</v>
      </c>
    </row>
    <row r="137" spans="2:11" s="27" customFormat="1" ht="15.95" customHeight="1" x14ac:dyDescent="0.25">
      <c r="B137" s="66">
        <f>$E$40</f>
        <v>719.56484658320153</v>
      </c>
      <c r="C137" s="67">
        <f>$E$40*$E$24</f>
        <v>10793.472698748023</v>
      </c>
      <c r="D137" s="67">
        <f>$E$22</f>
        <v>10000</v>
      </c>
      <c r="E137" s="67">
        <f ca="1">$G$112</f>
        <v>758.52730125194716</v>
      </c>
      <c r="F137" s="67">
        <f ca="1">$I$112</f>
        <v>34.94539749610378</v>
      </c>
      <c r="G137" s="67">
        <f ca="1">$E$112</f>
        <v>793.4726987480509</v>
      </c>
    </row>
    <row r="138" spans="2:11" s="27" customFormat="1" ht="15.95" customHeight="1" x14ac:dyDescent="0.25"/>
    <row r="139" spans="2:11" s="27" customFormat="1" ht="15.95" customHeight="1" x14ac:dyDescent="0.25">
      <c r="B139" s="27" t="s">
        <v>195</v>
      </c>
    </row>
    <row r="140" spans="2:11" s="27" customFormat="1" ht="15.95" customHeight="1" x14ac:dyDescent="0.25">
      <c r="B140" s="27" t="s">
        <v>179</v>
      </c>
    </row>
    <row r="141" spans="2:11" s="27" customFormat="1" ht="15.95" customHeight="1" x14ac:dyDescent="0.25"/>
    <row r="142" spans="2:11" s="27" customFormat="1" ht="33" customHeight="1" x14ac:dyDescent="0.25">
      <c r="B142" s="46"/>
      <c r="C142" s="140">
        <f ca="1">$F$137</f>
        <v>34.94539749610378</v>
      </c>
    </row>
    <row r="143" spans="2:11" s="27" customFormat="1" ht="15.95" customHeight="1" x14ac:dyDescent="0.25"/>
    <row r="144" spans="2:11" ht="15.95" customHeight="1" x14ac:dyDescent="0.25"/>
    <row r="145" ht="15.95" customHeight="1" x14ac:dyDescent="0.25"/>
    <row r="146" ht="15.95" customHeight="1" x14ac:dyDescent="0.25"/>
    <row r="147" ht="15.95" customHeight="1" x14ac:dyDescent="0.25"/>
    <row r="148" ht="15.95" customHeight="1" x14ac:dyDescent="0.25"/>
    <row r="149" ht="15.95" customHeight="1" x14ac:dyDescent="0.25"/>
    <row r="150" ht="15.95" customHeight="1" x14ac:dyDescent="0.25"/>
    <row r="151" ht="15.95" customHeight="1" x14ac:dyDescent="0.25"/>
    <row r="152" ht="15.95" customHeight="1" x14ac:dyDescent="0.25"/>
    <row r="153" ht="15.95" customHeight="1" x14ac:dyDescent="0.25"/>
    <row r="154" ht="15.95" customHeight="1" x14ac:dyDescent="0.25"/>
    <row r="155" ht="15.95" customHeight="1" x14ac:dyDescent="0.25"/>
    <row r="156" ht="15.95" customHeight="1" x14ac:dyDescent="0.25"/>
    <row r="157" ht="15.95" customHeight="1" x14ac:dyDescent="0.25"/>
    <row r="158" ht="15.95" customHeight="1" x14ac:dyDescent="0.25"/>
    <row r="159" ht="15.95" customHeight="1" x14ac:dyDescent="0.25"/>
    <row r="160" ht="15.95" customHeight="1" x14ac:dyDescent="0.25"/>
    <row r="161" ht="15.95" customHeight="1" x14ac:dyDescent="0.25"/>
    <row r="162" ht="15.95" customHeight="1" x14ac:dyDescent="0.25"/>
    <row r="163" ht="15.95" customHeight="1" x14ac:dyDescent="0.25"/>
    <row r="164" ht="15.95" customHeight="1" x14ac:dyDescent="0.25"/>
    <row r="165" ht="15.95" customHeight="1" x14ac:dyDescent="0.25"/>
    <row r="166" ht="15.95" customHeight="1" x14ac:dyDescent="0.25"/>
    <row r="167" ht="15.95" customHeight="1" x14ac:dyDescent="0.25"/>
    <row r="168" ht="15.95" customHeight="1" x14ac:dyDescent="0.25"/>
    <row r="169" ht="15.95" customHeight="1" x14ac:dyDescent="0.25"/>
    <row r="170" ht="15.95" customHeight="1" x14ac:dyDescent="0.25"/>
    <row r="171" ht="15.95" customHeight="1" x14ac:dyDescent="0.25"/>
    <row r="172" ht="15.95" customHeight="1" x14ac:dyDescent="0.25"/>
  </sheetData>
  <sheetProtection password="C6BE" sheet="1" objects="1" scenarios="1" formatColumns="0" insertRows="0" deleteRows="0"/>
  <mergeCells count="32">
    <mergeCell ref="B135:B136"/>
    <mergeCell ref="C135:C136"/>
    <mergeCell ref="D135:D136"/>
    <mergeCell ref="E135:G135"/>
    <mergeCell ref="B50:C50"/>
    <mergeCell ref="C95:F95"/>
    <mergeCell ref="B53:C53"/>
    <mergeCell ref="B54:C54"/>
    <mergeCell ref="B28:C28"/>
    <mergeCell ref="B25:C25"/>
    <mergeCell ref="B39:D39"/>
    <mergeCell ref="B48:C48"/>
    <mergeCell ref="D41:E41"/>
    <mergeCell ref="B40:D40"/>
    <mergeCell ref="B22:C22"/>
    <mergeCell ref="B23:C23"/>
    <mergeCell ref="B24:C24"/>
    <mergeCell ref="B26:C26"/>
    <mergeCell ref="B27:C27"/>
    <mergeCell ref="G39:I39"/>
    <mergeCell ref="G95:J95"/>
    <mergeCell ref="F54:G54"/>
    <mergeCell ref="F53:G53"/>
    <mergeCell ref="H53:I53"/>
    <mergeCell ref="H54:I54"/>
    <mergeCell ref="B49:C49"/>
    <mergeCell ref="C55:D55"/>
    <mergeCell ref="C113:I113"/>
    <mergeCell ref="C94:F94"/>
    <mergeCell ref="G94:J94"/>
    <mergeCell ref="B94:B96"/>
    <mergeCell ref="H63:I63"/>
  </mergeCells>
  <conditionalFormatting sqref="C55:D55">
    <cfRule type="cellIs" dxfId="7" priority="15" operator="greaterThan">
      <formula>" "</formula>
    </cfRule>
  </conditionalFormatting>
  <conditionalFormatting sqref="D41:E41">
    <cfRule type="cellIs" dxfId="6" priority="14" operator="greaterThan">
      <formula>" "</formula>
    </cfRule>
  </conditionalFormatting>
  <conditionalFormatting sqref="C113:I113">
    <cfRule type="cellIs" dxfId="5" priority="13" operator="greaterThan">
      <formula>" "</formula>
    </cfRule>
  </conditionalFormatting>
  <conditionalFormatting sqref="H63:I63">
    <cfRule type="cellIs" dxfId="4" priority="2" operator="greaterThan">
      <formula>" "</formula>
    </cfRule>
  </conditionalFormatting>
  <conditionalFormatting sqref="K63">
    <cfRule type="cellIs" dxfId="3" priority="1" operator="greaterThan">
      <formula>" "</formula>
    </cfRule>
  </conditionalFormatting>
  <hyperlinks>
    <hyperlink ref="K63" location="Erro_Tab_06" display="Erro_Tab_06"/>
    <hyperlink ref="C3" location="Cel_2.1" display="2.1) Passos para substituir as cláusulas do exemplo pelas de SEU contrato"/>
    <hyperlink ref="C4" location="Cel_2.2" display="2.2) As cláusulas do contrato"/>
    <hyperlink ref="C5" location="Cel_2.3" display="2.3) Substitua os dados da Tabela 01 pelas cláusulas de SEU contrato"/>
    <hyperlink ref="C6" location="Cel_2.4" display="2.4) Complete a tabela abaixo com as prestações de SEU contrato"/>
    <hyperlink ref="C7" location="Cel_2.5" display="2.5) Calcular o montante e o valor total de juros"/>
    <hyperlink ref="C8" location="Cel_2.6" display="2.6) O valor dos juros e de amortização em cada parcela"/>
    <hyperlink ref="C9" location="Cel_2.7" display="2.7) Os valores básicos do contrato, detalhados por juros lineares e juros sobre juros"/>
    <hyperlink ref="E91" r:id="rId1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8"/>
  <sheetViews>
    <sheetView zoomScale="80" zoomScaleNormal="80" workbookViewId="0">
      <selection activeCell="A2" sqref="A2"/>
    </sheetView>
  </sheetViews>
  <sheetFormatPr defaultRowHeight="15" x14ac:dyDescent="0.25"/>
  <cols>
    <col min="1" max="1" width="5.7109375" customWidth="1"/>
    <col min="2" max="2" width="10.5703125" customWidth="1"/>
    <col min="3" max="3" width="25.140625" customWidth="1"/>
    <col min="4" max="4" width="17.28515625" customWidth="1"/>
    <col min="5" max="5" width="12.5703125" customWidth="1"/>
    <col min="6" max="6" width="13.85546875" customWidth="1"/>
    <col min="7" max="7" width="24.7109375" customWidth="1"/>
    <col min="8" max="8" width="17.5703125" customWidth="1"/>
    <col min="9" max="9" width="13.140625" customWidth="1"/>
    <col min="10" max="10" width="24.5703125" customWidth="1"/>
    <col min="11" max="11" width="18.5703125" customWidth="1"/>
    <col min="12" max="12" width="14.42578125" customWidth="1"/>
    <col min="13" max="13" width="25" customWidth="1"/>
    <col min="14" max="14" width="15.7109375" customWidth="1"/>
    <col min="15" max="15" width="13.5703125" customWidth="1"/>
    <col min="16" max="16" width="24.5703125" customWidth="1"/>
    <col min="17" max="19" width="15.7109375" customWidth="1"/>
    <col min="20" max="20" width="16.42578125" customWidth="1"/>
    <col min="21" max="21" width="11.5703125" customWidth="1"/>
    <col min="22" max="23" width="16" customWidth="1"/>
    <col min="24" max="24" width="11.5703125" customWidth="1"/>
    <col min="25" max="25" width="10.140625" customWidth="1"/>
    <col min="26" max="27" width="13.42578125" customWidth="1"/>
    <col min="28" max="28" width="12.42578125" customWidth="1"/>
    <col min="29" max="31" width="11.85546875" customWidth="1"/>
    <col min="32" max="32" width="10.7109375" customWidth="1"/>
    <col min="33" max="33" width="10.85546875" customWidth="1"/>
    <col min="34" max="35" width="12.85546875" customWidth="1"/>
    <col min="36" max="36" width="11" customWidth="1"/>
    <col min="37" max="37" width="10.42578125" customWidth="1"/>
    <col min="38" max="39" width="13.42578125" customWidth="1"/>
    <col min="40" max="40" width="10.7109375" customWidth="1"/>
    <col min="41" max="41" width="10.5703125" customWidth="1"/>
    <col min="42" max="43" width="12.140625" customWidth="1"/>
    <col min="44" max="44" width="10.42578125" customWidth="1"/>
    <col min="45" max="45" width="11" customWidth="1"/>
    <col min="46" max="47" width="13" customWidth="1"/>
    <col min="48" max="48" width="10.5703125" customWidth="1"/>
    <col min="49" max="51" width="11.28515625" customWidth="1"/>
    <col min="52" max="52" width="11" customWidth="1"/>
    <col min="53" max="53" width="11.42578125" customWidth="1"/>
    <col min="54" max="55" width="13.28515625" customWidth="1"/>
    <col min="56" max="56" width="10.5703125" customWidth="1"/>
    <col min="57" max="57" width="10.28515625" customWidth="1"/>
    <col min="58" max="58" width="11.42578125" customWidth="1"/>
    <col min="59" max="59" width="12.7109375" customWidth="1"/>
    <col min="60" max="61" width="10.5703125" customWidth="1"/>
    <col min="62" max="63" width="12.85546875" customWidth="1"/>
    <col min="64" max="66" width="11.28515625" customWidth="1"/>
    <col min="67" max="67" width="13.85546875" customWidth="1"/>
    <col min="68" max="70" width="11.28515625" customWidth="1"/>
    <col min="71" max="71" width="13.5703125" customWidth="1"/>
    <col min="72" max="74" width="11.28515625" customWidth="1"/>
    <col min="75" max="75" width="13.42578125" customWidth="1"/>
    <col min="76" max="78" width="11.28515625" customWidth="1"/>
    <col min="79" max="79" width="14.140625" customWidth="1"/>
    <col min="80" max="82" width="11.28515625" customWidth="1"/>
    <col min="83" max="83" width="12.140625" customWidth="1"/>
    <col min="84" max="86" width="11.28515625" customWidth="1"/>
    <col min="87" max="87" width="12.85546875" customWidth="1"/>
    <col min="88" max="90" width="11.28515625" customWidth="1"/>
    <col min="91" max="91" width="12.5703125" customWidth="1"/>
    <col min="92" max="94" width="11.28515625" customWidth="1"/>
    <col min="95" max="95" width="13.42578125" customWidth="1"/>
    <col min="96" max="98" width="11.28515625" customWidth="1"/>
    <col min="99" max="99" width="14" customWidth="1"/>
    <col min="100" max="102" width="11.28515625" customWidth="1"/>
    <col min="103" max="103" width="15" customWidth="1"/>
    <col min="104" max="106" width="11.28515625" customWidth="1"/>
    <col min="107" max="107" width="14.28515625" customWidth="1"/>
    <col min="108" max="110" width="11.28515625" customWidth="1"/>
    <col min="111" max="111" width="12.42578125" customWidth="1"/>
    <col min="112" max="114" width="11.28515625" customWidth="1"/>
    <col min="115" max="115" width="13.28515625" customWidth="1"/>
    <col min="116" max="118" width="11.28515625" customWidth="1"/>
    <col min="119" max="119" width="13.140625" customWidth="1"/>
    <col min="120" max="122" width="11.28515625" customWidth="1"/>
    <col min="123" max="123" width="13.140625" customWidth="1"/>
    <col min="124" max="126" width="11.28515625" customWidth="1"/>
    <col min="127" max="127" width="13.42578125" customWidth="1"/>
    <col min="128" max="130" width="11.28515625" customWidth="1"/>
    <col min="131" max="131" width="13.140625" customWidth="1"/>
    <col min="132" max="134" width="11.28515625" customWidth="1"/>
    <col min="135" max="135" width="13.28515625" customWidth="1"/>
    <col min="136" max="138" width="11.28515625" customWidth="1"/>
    <col min="139" max="139" width="13.28515625" customWidth="1"/>
    <col min="140" max="142" width="11.28515625" customWidth="1"/>
    <col min="143" max="143" width="12.85546875" customWidth="1"/>
    <col min="144" max="146" width="11.28515625" customWidth="1"/>
    <col min="147" max="147" width="12.7109375" customWidth="1"/>
    <col min="148" max="150" width="11.28515625" customWidth="1"/>
    <col min="151" max="151" width="14.85546875" customWidth="1"/>
    <col min="152" max="152" width="13.42578125" customWidth="1"/>
    <col min="153" max="153" width="14.7109375" customWidth="1"/>
  </cols>
  <sheetData>
    <row r="1" spans="1:6" s="32" customFormat="1" ht="30" customHeight="1" x14ac:dyDescent="0.25">
      <c r="A1" s="147" t="s">
        <v>186</v>
      </c>
    </row>
    <row r="2" spans="1:6" ht="15.95" customHeight="1" x14ac:dyDescent="0.25">
      <c r="C2" s="163" t="s">
        <v>259</v>
      </c>
    </row>
    <row r="3" spans="1:6" ht="15.95" customHeight="1" x14ac:dyDescent="0.25">
      <c r="C3" s="166" t="s">
        <v>188</v>
      </c>
    </row>
    <row r="4" spans="1:6" ht="15.95" customHeight="1" x14ac:dyDescent="0.25">
      <c r="C4" s="166" t="s">
        <v>215</v>
      </c>
    </row>
    <row r="5" spans="1:6" ht="15.95" customHeight="1" x14ac:dyDescent="0.25">
      <c r="C5" s="166" t="s">
        <v>199</v>
      </c>
    </row>
    <row r="6" spans="1:6" s="32" customFormat="1" ht="15.95" customHeight="1" x14ac:dyDescent="0.25"/>
    <row r="7" spans="1:6" s="32" customFormat="1" ht="24.95" customHeight="1" x14ac:dyDescent="0.25">
      <c r="A7" s="148" t="s">
        <v>188</v>
      </c>
    </row>
    <row r="8" spans="1:6" s="32" customFormat="1" ht="24.95" customHeight="1" x14ac:dyDescent="0.25">
      <c r="A8" s="47"/>
      <c r="C8" s="150" t="s">
        <v>176</v>
      </c>
    </row>
    <row r="9" spans="1:6" s="56" customFormat="1" ht="15.95" customHeight="1" x14ac:dyDescent="0.25">
      <c r="A9" s="33"/>
    </row>
    <row r="10" spans="1:6" s="32" customFormat="1" ht="24.95" customHeight="1" x14ac:dyDescent="0.25">
      <c r="C10" s="152" t="s">
        <v>33</v>
      </c>
    </row>
    <row r="11" spans="1:6" ht="15.95" customHeight="1" x14ac:dyDescent="0.25">
      <c r="C11" s="228" t="s">
        <v>2</v>
      </c>
      <c r="D11" s="228"/>
      <c r="E11" s="8" t="s">
        <v>3</v>
      </c>
      <c r="F11" s="42">
        <f>'Os juros sobre juros'!$E$23</f>
        <v>9.7000000000000003E-3</v>
      </c>
    </row>
    <row r="12" spans="1:6" ht="15.95" customHeight="1" x14ac:dyDescent="0.25">
      <c r="C12" s="228" t="s">
        <v>7</v>
      </c>
      <c r="D12" s="228"/>
      <c r="E12" s="8" t="s">
        <v>8</v>
      </c>
      <c r="F12" s="42">
        <f>'Os juros sobre juros'!$E$27</f>
        <v>0.1164</v>
      </c>
    </row>
    <row r="13" spans="1:6" ht="15.95" customHeight="1" x14ac:dyDescent="0.25">
      <c r="C13" s="228" t="s">
        <v>9</v>
      </c>
      <c r="D13" s="228"/>
      <c r="E13" s="8" t="s">
        <v>10</v>
      </c>
      <c r="F13" s="42">
        <f>'Os juros sobre juros'!$E$28</f>
        <v>0.12281499999999999</v>
      </c>
    </row>
    <row r="14" spans="1:6" s="32" customFormat="1" ht="15.95" customHeight="1" x14ac:dyDescent="0.25">
      <c r="A14" s="47"/>
    </row>
    <row r="15" spans="1:6" ht="15.95" customHeight="1" x14ac:dyDescent="0.25">
      <c r="B15" t="s">
        <v>53</v>
      </c>
    </row>
    <row r="16" spans="1:6" ht="15.95" customHeight="1" x14ac:dyDescent="0.25">
      <c r="B16" t="s">
        <v>99</v>
      </c>
    </row>
    <row r="17" spans="2:15" ht="15.95" customHeight="1" x14ac:dyDescent="0.25">
      <c r="B17" t="s">
        <v>100</v>
      </c>
    </row>
    <row r="18" spans="2:15" ht="15.95" customHeight="1" x14ac:dyDescent="0.25"/>
    <row r="19" spans="2:15" s="32" customFormat="1" ht="24.95" customHeight="1" x14ac:dyDescent="0.25">
      <c r="B19" s="152" t="s">
        <v>246</v>
      </c>
      <c r="I19" s="34"/>
    </row>
    <row r="20" spans="2:15" s="32" customFormat="1" ht="20.100000000000001" customHeight="1" x14ac:dyDescent="0.25">
      <c r="B20" s="218" t="s">
        <v>19</v>
      </c>
      <c r="C20" s="218" t="s">
        <v>17</v>
      </c>
      <c r="D20" s="218" t="s">
        <v>20</v>
      </c>
      <c r="E20" s="229" t="s">
        <v>68</v>
      </c>
      <c r="F20" s="229"/>
      <c r="G20" s="229" t="s">
        <v>74</v>
      </c>
      <c r="H20" s="229"/>
      <c r="J20" s="229" t="s">
        <v>24</v>
      </c>
      <c r="K20" s="229"/>
      <c r="M20" s="229" t="s">
        <v>75</v>
      </c>
      <c r="N20" s="229"/>
    </row>
    <row r="21" spans="2:15" s="32" customFormat="1" ht="33" customHeight="1" x14ac:dyDescent="0.25">
      <c r="B21" s="218"/>
      <c r="C21" s="218"/>
      <c r="D21" s="218"/>
      <c r="E21" s="77" t="s">
        <v>45</v>
      </c>
      <c r="F21" s="77" t="s">
        <v>67</v>
      </c>
      <c r="G21" s="77" t="s">
        <v>45</v>
      </c>
      <c r="H21" s="77" t="s">
        <v>67</v>
      </c>
      <c r="J21" s="77" t="s">
        <v>45</v>
      </c>
      <c r="K21" s="77" t="s">
        <v>67</v>
      </c>
      <c r="M21" s="77" t="s">
        <v>45</v>
      </c>
      <c r="N21" s="77" t="s">
        <v>67</v>
      </c>
    </row>
    <row r="22" spans="2:15" ht="21" customHeight="1" x14ac:dyDescent="0.25">
      <c r="B22" s="45">
        <f>'Os juros sobre juros'!$B$108</f>
        <v>12</v>
      </c>
      <c r="C22" s="7">
        <f>'Os juros sobre juros'!$C$108</f>
        <v>719.56484658320153</v>
      </c>
      <c r="D22" s="40">
        <f>'Os juros sobre juros'!$D$108</f>
        <v>640.85778319614394</v>
      </c>
      <c r="E22" s="40">
        <f>'Os juros sobre juros'!$E$23*'Os juros sobre juros'!$D$108</f>
        <v>6.216320497002596</v>
      </c>
      <c r="F22" s="41">
        <f>E22/D22</f>
        <v>9.7000000000000003E-3</v>
      </c>
      <c r="G22" s="40">
        <f>'Os juros sobre juros'!$E$108</f>
        <v>78.707063387057588</v>
      </c>
      <c r="H22" s="41">
        <f>$G$22/$D$22</f>
        <v>0.12281517904724913</v>
      </c>
      <c r="J22" s="40">
        <f>'Os juros sobre juros'!$G$108</f>
        <v>74.595845964031156</v>
      </c>
      <c r="K22" s="41">
        <f>$J$22/$D$22</f>
        <v>0.1164</v>
      </c>
      <c r="M22" s="40">
        <f>'Os juros sobre juros'!$I$108</f>
        <v>4.1112174230264316</v>
      </c>
      <c r="N22" s="2">
        <f>$M$22/$D$22</f>
        <v>6.4151790472491352E-3</v>
      </c>
    </row>
    <row r="23" spans="2:15" s="32" customFormat="1" ht="15.95" customHeight="1" x14ac:dyDescent="0.25">
      <c r="D23" s="235" t="s">
        <v>97</v>
      </c>
      <c r="E23" s="231" t="s">
        <v>96</v>
      </c>
      <c r="F23" s="232"/>
      <c r="G23" s="231" t="s">
        <v>51</v>
      </c>
      <c r="H23" s="232"/>
      <c r="J23" s="231" t="s">
        <v>52</v>
      </c>
      <c r="K23" s="232"/>
      <c r="M23" s="230" t="s">
        <v>50</v>
      </c>
      <c r="N23" s="230"/>
      <c r="O23" s="3"/>
    </row>
    <row r="24" spans="2:15" s="32" customFormat="1" ht="15.95" customHeight="1" x14ac:dyDescent="0.25">
      <c r="D24" s="236"/>
      <c r="E24" s="233"/>
      <c r="F24" s="234"/>
      <c r="G24" s="233"/>
      <c r="H24" s="234"/>
      <c r="J24" s="233"/>
      <c r="K24" s="234"/>
      <c r="M24" s="230"/>
      <c r="N24" s="230"/>
    </row>
    <row r="25" spans="2:15" s="32" customFormat="1" ht="15.95" customHeight="1" x14ac:dyDescent="0.25"/>
    <row r="26" spans="2:15" s="32" customFormat="1" ht="15.95" customHeight="1" x14ac:dyDescent="0.25">
      <c r="B26" s="32" t="s">
        <v>175</v>
      </c>
    </row>
    <row r="27" spans="2:15" s="32" customFormat="1" ht="15.95" customHeight="1" x14ac:dyDescent="0.25">
      <c r="C27" s="71">
        <f>$D$22</f>
        <v>640.85778319614394</v>
      </c>
      <c r="D27" s="73" t="s">
        <v>115</v>
      </c>
    </row>
    <row r="28" spans="2:15" s="32" customFormat="1" ht="15.95" customHeight="1" x14ac:dyDescent="0.25">
      <c r="C28" s="71">
        <f>$E$22</f>
        <v>6.216320497002596</v>
      </c>
      <c r="D28" s="73" t="s">
        <v>76</v>
      </c>
    </row>
    <row r="29" spans="2:15" s="32" customFormat="1" ht="15.95" customHeight="1" x14ac:dyDescent="0.25">
      <c r="C29" s="71">
        <f>$J$22</f>
        <v>74.595845964031156</v>
      </c>
      <c r="D29" s="125" t="s">
        <v>109</v>
      </c>
    </row>
    <row r="30" spans="2:15" s="32" customFormat="1" ht="15.95" customHeight="1" x14ac:dyDescent="0.25">
      <c r="C30" s="71">
        <f>$G$22</f>
        <v>78.707063387057588</v>
      </c>
      <c r="D30" s="73" t="s">
        <v>108</v>
      </c>
    </row>
    <row r="31" spans="2:15" s="32" customFormat="1" ht="15.95" customHeight="1" x14ac:dyDescent="0.25">
      <c r="C31" s="71">
        <f>$M$22</f>
        <v>4.1112174230264316</v>
      </c>
      <c r="D31" s="125" t="s">
        <v>110</v>
      </c>
    </row>
    <row r="32" spans="2:15" s="32" customFormat="1" ht="15.95" customHeight="1" x14ac:dyDescent="0.25">
      <c r="C32" s="1"/>
      <c r="D32" s="125"/>
    </row>
    <row r="33" spans="2:15" s="32" customFormat="1" ht="24.95" customHeight="1" x14ac:dyDescent="0.25">
      <c r="B33" s="150" t="s">
        <v>177</v>
      </c>
      <c r="C33" s="1"/>
      <c r="D33" s="125"/>
    </row>
    <row r="34" spans="2:15" s="32" customFormat="1" ht="15.95" customHeight="1" x14ac:dyDescent="0.25">
      <c r="I34" s="61"/>
      <c r="K34" s="61"/>
      <c r="M34" s="61"/>
    </row>
    <row r="35" spans="2:15" s="32" customFormat="1" ht="15.95" customHeight="1" x14ac:dyDescent="0.25">
      <c r="B35" s="32" t="s">
        <v>182</v>
      </c>
      <c r="I35" s="71">
        <f>$E$22</f>
        <v>6.216320497002596</v>
      </c>
      <c r="K35" s="71">
        <f>$D$22</f>
        <v>640.85778319614394</v>
      </c>
      <c r="M35" s="41">
        <f>$F$22</f>
        <v>9.7000000000000003E-3</v>
      </c>
    </row>
    <row r="36" spans="2:15" s="32" customFormat="1" ht="15.95" customHeight="1" x14ac:dyDescent="0.25">
      <c r="B36" s="32" t="s">
        <v>121</v>
      </c>
      <c r="I36" s="61" t="s">
        <v>106</v>
      </c>
      <c r="K36" s="61" t="s">
        <v>102</v>
      </c>
      <c r="M36" s="61" t="s">
        <v>107</v>
      </c>
    </row>
    <row r="37" spans="2:15" s="32" customFormat="1" ht="15.95" customHeight="1" x14ac:dyDescent="0.25"/>
    <row r="38" spans="2:15" s="32" customFormat="1" ht="15.95" customHeight="1" x14ac:dyDescent="0.25">
      <c r="B38" s="32" t="s">
        <v>181</v>
      </c>
      <c r="I38" s="71">
        <f>$J$22</f>
        <v>74.595845964031156</v>
      </c>
      <c r="K38" s="71">
        <f>$D$22</f>
        <v>640.85778319614394</v>
      </c>
      <c r="M38" s="41">
        <f>$K$22</f>
        <v>0.1164</v>
      </c>
    </row>
    <row r="39" spans="2:15" s="32" customFormat="1" ht="15.95" customHeight="1" x14ac:dyDescent="0.25">
      <c r="I39" s="61" t="s">
        <v>104</v>
      </c>
      <c r="K39" s="61" t="s">
        <v>102</v>
      </c>
      <c r="M39" s="61" t="s">
        <v>105</v>
      </c>
    </row>
    <row r="40" spans="2:15" s="32" customFormat="1" ht="15.95" customHeight="1" x14ac:dyDescent="0.25"/>
    <row r="41" spans="2:15" s="32" customFormat="1" ht="15.95" customHeight="1" x14ac:dyDescent="0.25">
      <c r="B41" s="32" t="s">
        <v>180</v>
      </c>
      <c r="I41" s="71">
        <f>$G$22</f>
        <v>78.707063387057588</v>
      </c>
      <c r="K41" s="71">
        <f>$D$22</f>
        <v>640.85778319614394</v>
      </c>
      <c r="M41" s="41">
        <f>$H$22</f>
        <v>0.12281517904724913</v>
      </c>
    </row>
    <row r="42" spans="2:15" s="32" customFormat="1" ht="15.95" customHeight="1" x14ac:dyDescent="0.25">
      <c r="I42" s="61" t="s">
        <v>101</v>
      </c>
      <c r="K42" s="61" t="s">
        <v>102</v>
      </c>
      <c r="M42" s="61" t="s">
        <v>103</v>
      </c>
    </row>
    <row r="43" spans="2:15" s="32" customFormat="1" ht="15.95" customHeight="1" x14ac:dyDescent="0.25">
      <c r="I43" s="61"/>
      <c r="K43" s="61"/>
      <c r="M43" s="61"/>
    </row>
    <row r="44" spans="2:15" s="32" customFormat="1" ht="24.95" customHeight="1" x14ac:dyDescent="0.25">
      <c r="B44" s="150" t="s">
        <v>178</v>
      </c>
      <c r="I44" s="61"/>
      <c r="K44" s="61"/>
      <c r="M44" s="61"/>
    </row>
    <row r="45" spans="2:15" s="32" customFormat="1" ht="15.95" customHeight="1" x14ac:dyDescent="0.25"/>
    <row r="46" spans="2:15" s="32" customFormat="1" ht="15.95" customHeight="1" x14ac:dyDescent="0.25">
      <c r="B46" s="32" t="s">
        <v>111</v>
      </c>
      <c r="I46" s="71">
        <f>$J$22</f>
        <v>74.595845964031156</v>
      </c>
      <c r="J46" s="73" t="s">
        <v>77</v>
      </c>
    </row>
    <row r="47" spans="2:15" s="32" customFormat="1" ht="15.95" customHeight="1" x14ac:dyDescent="0.25">
      <c r="B47" s="32" t="s">
        <v>82</v>
      </c>
      <c r="I47" s="71">
        <f>$E$22*12</f>
        <v>74.595845964031156</v>
      </c>
      <c r="J47" s="73" t="s">
        <v>170</v>
      </c>
      <c r="M47" s="71">
        <f>$C$28</f>
        <v>6.216320497002596</v>
      </c>
      <c r="O47" s="72">
        <v>12</v>
      </c>
    </row>
    <row r="48" spans="2:15" s="32" customFormat="1" ht="15.95" customHeight="1" x14ac:dyDescent="0.25"/>
    <row r="49" spans="1:15" s="32" customFormat="1" ht="15.95" customHeight="1" x14ac:dyDescent="0.25">
      <c r="B49" s="32" t="s">
        <v>112</v>
      </c>
      <c r="I49" s="71">
        <f>$G$22</f>
        <v>78.707063387057588</v>
      </c>
      <c r="J49" s="73" t="s">
        <v>78</v>
      </c>
    </row>
    <row r="50" spans="1:15" s="32" customFormat="1" ht="15.95" customHeight="1" x14ac:dyDescent="0.25">
      <c r="B50" s="32" t="s">
        <v>82</v>
      </c>
      <c r="I50" s="71">
        <f>$E$22*12</f>
        <v>74.595845964031156</v>
      </c>
      <c r="J50" s="73" t="s">
        <v>170</v>
      </c>
      <c r="M50" s="71">
        <f>$C$28</f>
        <v>6.216320497002596</v>
      </c>
      <c r="O50" s="72">
        <v>12</v>
      </c>
    </row>
    <row r="51" spans="1:15" s="32" customFormat="1" ht="15.95" customHeight="1" x14ac:dyDescent="0.25">
      <c r="I51" s="71">
        <f>I49-I50</f>
        <v>4.1112174230264316</v>
      </c>
      <c r="J51" s="125" t="s">
        <v>79</v>
      </c>
    </row>
    <row r="52" spans="1:15" s="32" customFormat="1" ht="15.95" customHeight="1" x14ac:dyDescent="0.25"/>
    <row r="53" spans="1:15" s="32" customFormat="1" ht="15.95" customHeight="1" x14ac:dyDescent="0.25">
      <c r="B53" s="32" t="s">
        <v>80</v>
      </c>
      <c r="I53" s="71">
        <f>$M$22</f>
        <v>4.1112174230264316</v>
      </c>
      <c r="J53" s="125" t="s">
        <v>81</v>
      </c>
    </row>
    <row r="54" spans="1:15" s="32" customFormat="1" ht="15.95" customHeight="1" x14ac:dyDescent="0.25">
      <c r="I54" s="1"/>
      <c r="J54" s="59"/>
    </row>
    <row r="55" spans="1:15" s="32" customFormat="1" ht="24.95" customHeight="1" x14ac:dyDescent="0.25">
      <c r="A55" s="148" t="s">
        <v>215</v>
      </c>
    </row>
    <row r="56" spans="1:15" s="27" customFormat="1" ht="15.95" customHeight="1" x14ac:dyDescent="0.25">
      <c r="A56" s="133"/>
      <c r="B56" s="44" t="s">
        <v>216</v>
      </c>
    </row>
    <row r="57" spans="1:15" s="32" customFormat="1" ht="15.95" customHeight="1" x14ac:dyDescent="0.25">
      <c r="B57" s="44" t="s">
        <v>151</v>
      </c>
    </row>
    <row r="58" spans="1:15" s="32" customFormat="1" ht="15.95" customHeight="1" x14ac:dyDescent="0.25">
      <c r="B58" s="44" t="s">
        <v>260</v>
      </c>
    </row>
    <row r="59" spans="1:15" s="32" customFormat="1" ht="15.95" customHeight="1" x14ac:dyDescent="0.25">
      <c r="B59" s="44" t="s">
        <v>261</v>
      </c>
    </row>
    <row r="60" spans="1:15" s="32" customFormat="1" ht="15.95" customHeight="1" x14ac:dyDescent="0.25">
      <c r="B60" s="44" t="s">
        <v>174</v>
      </c>
    </row>
    <row r="61" spans="1:15" s="32" customFormat="1" ht="15.95" customHeight="1" x14ac:dyDescent="0.25">
      <c r="B61" s="44" t="s">
        <v>197</v>
      </c>
    </row>
    <row r="62" spans="1:15" s="32" customFormat="1" ht="15.95" customHeight="1" x14ac:dyDescent="0.25">
      <c r="B62" s="44" t="s">
        <v>198</v>
      </c>
    </row>
    <row r="63" spans="1:15" s="32" customFormat="1" ht="15.95" customHeight="1" x14ac:dyDescent="0.25">
      <c r="B63" s="44" t="s">
        <v>262</v>
      </c>
    </row>
    <row r="64" spans="1:15" s="32" customFormat="1" ht="15.95" customHeight="1" x14ac:dyDescent="0.25">
      <c r="A64" s="47"/>
    </row>
    <row r="65" spans="1:15" s="131" customFormat="1" ht="24.95" customHeight="1" x14ac:dyDescent="0.25">
      <c r="B65" s="151" t="s">
        <v>152</v>
      </c>
      <c r="C65" s="155"/>
    </row>
    <row r="66" spans="1:15" s="32" customFormat="1" ht="15.95" customHeight="1" x14ac:dyDescent="0.25">
      <c r="A66" s="47"/>
      <c r="B66" s="156" t="s">
        <v>153</v>
      </c>
      <c r="C66" s="156"/>
    </row>
    <row r="67" spans="1:15" s="32" customFormat="1" ht="15.95" customHeight="1" x14ac:dyDescent="0.25">
      <c r="A67" s="47"/>
    </row>
    <row r="68" spans="1:15" s="27" customFormat="1" ht="20.100000000000001" customHeight="1" x14ac:dyDescent="0.25">
      <c r="C68" s="43" t="s">
        <v>152</v>
      </c>
      <c r="D68" s="29"/>
      <c r="G68"/>
      <c r="H68"/>
      <c r="I68"/>
      <c r="J68"/>
      <c r="K68"/>
    </row>
    <row r="69" spans="1:15" s="27" customFormat="1" ht="15.95" customHeight="1" x14ac:dyDescent="0.25">
      <c r="B69" s="70"/>
      <c r="C69" s="134">
        <v>15</v>
      </c>
      <c r="D69" s="70"/>
      <c r="G69" s="32"/>
      <c r="H69" s="32"/>
      <c r="I69" s="32"/>
      <c r="J69" s="32"/>
      <c r="K69" s="32"/>
    </row>
    <row r="70" spans="1:15" s="32" customFormat="1" ht="15.95" customHeight="1" x14ac:dyDescent="0.25">
      <c r="C70" s="135" t="str">
        <f>IF(OR($C$69&lt;12,$C$69&gt;'Os juros sobre juros'!E24),"PRESTAÇÃO INCORRETA","")</f>
        <v/>
      </c>
    </row>
    <row r="71" spans="1:15" s="131" customFormat="1" ht="24.95" customHeight="1" x14ac:dyDescent="0.25">
      <c r="B71" s="150" t="s">
        <v>156</v>
      </c>
    </row>
    <row r="72" spans="1:15" s="32" customFormat="1" ht="15.95" customHeight="1" x14ac:dyDescent="0.25">
      <c r="B72" s="32" t="s">
        <v>196</v>
      </c>
    </row>
    <row r="73" spans="1:15" x14ac:dyDescent="0.25">
      <c r="E73" s="27"/>
    </row>
    <row r="74" spans="1:15" s="32" customFormat="1" ht="24.95" customHeight="1" x14ac:dyDescent="0.25">
      <c r="B74" s="152" t="s">
        <v>247</v>
      </c>
      <c r="F74" s="27"/>
      <c r="G74" s="27"/>
      <c r="H74" s="27"/>
      <c r="I74" s="27"/>
      <c r="J74" s="27"/>
      <c r="K74"/>
      <c r="L74"/>
      <c r="M74"/>
      <c r="N74"/>
      <c r="O74"/>
    </row>
    <row r="75" spans="1:15" ht="20.100000000000001" customHeight="1" x14ac:dyDescent="0.25">
      <c r="B75" s="218" t="str">
        <f>CONCATENATE("Prestação ",$C$69)</f>
        <v>Prestação 15</v>
      </c>
      <c r="C75" s="221"/>
      <c r="D75" s="221"/>
      <c r="F75" s="27"/>
      <c r="G75" s="27"/>
      <c r="H75" s="27"/>
      <c r="I75" s="27"/>
      <c r="J75" s="27"/>
    </row>
    <row r="76" spans="1:15" ht="20.100000000000001" customHeight="1" x14ac:dyDescent="0.25">
      <c r="B76" s="19" t="s">
        <v>46</v>
      </c>
      <c r="C76" s="5" t="s">
        <v>23</v>
      </c>
      <c r="D76" s="18" t="s">
        <v>47</v>
      </c>
      <c r="F76" s="27"/>
      <c r="G76" s="27"/>
      <c r="H76" s="27"/>
      <c r="I76" s="27"/>
      <c r="J76" s="27"/>
    </row>
    <row r="77" spans="1:15" s="27" customFormat="1" ht="15.95" customHeight="1" x14ac:dyDescent="0.25">
      <c r="B77" s="52">
        <v>1</v>
      </c>
      <c r="C77" s="66">
        <f>VLOOKUP($C$69,Tabela_06,3,0)</f>
        <v>622.56484658320153</v>
      </c>
      <c r="D77" s="66">
        <f>$F$11*C77</f>
        <v>6.0388790118570554</v>
      </c>
    </row>
    <row r="78" spans="1:15" s="27" customFormat="1" ht="15.95" customHeight="1" x14ac:dyDescent="0.25">
      <c r="B78" s="52">
        <f>B77+1</f>
        <v>2</v>
      </c>
      <c r="C78" s="66">
        <f>C77+D77</f>
        <v>628.60372559505856</v>
      </c>
      <c r="D78" s="66">
        <f t="shared" ref="D78:D91" si="0">$F$11*$C78</f>
        <v>6.0974561382720687</v>
      </c>
    </row>
    <row r="79" spans="1:15" s="27" customFormat="1" ht="15.95" customHeight="1" x14ac:dyDescent="0.25">
      <c r="B79" s="52">
        <f t="shared" ref="B79:B91" si="1">B78+1</f>
        <v>3</v>
      </c>
      <c r="C79" s="66">
        <f t="shared" ref="C79:C88" si="2">C78+D78</f>
        <v>634.7011817333306</v>
      </c>
      <c r="D79" s="66">
        <f t="shared" si="0"/>
        <v>6.156601462813307</v>
      </c>
    </row>
    <row r="80" spans="1:15" s="27" customFormat="1" ht="15.95" customHeight="1" x14ac:dyDescent="0.25">
      <c r="B80" s="52">
        <f t="shared" si="1"/>
        <v>4</v>
      </c>
      <c r="C80" s="66">
        <f t="shared" si="2"/>
        <v>640.85778319614394</v>
      </c>
      <c r="D80" s="66">
        <f t="shared" si="0"/>
        <v>6.216320497002596</v>
      </c>
    </row>
    <row r="81" spans="2:13" s="27" customFormat="1" ht="15.95" customHeight="1" x14ac:dyDescent="0.25">
      <c r="B81" s="52">
        <f t="shared" si="1"/>
        <v>5</v>
      </c>
      <c r="C81" s="66">
        <f t="shared" si="2"/>
        <v>647.07410369314653</v>
      </c>
      <c r="D81" s="66">
        <f t="shared" si="0"/>
        <v>6.2766188058235217</v>
      </c>
    </row>
    <row r="82" spans="2:13" s="27" customFormat="1" ht="15.95" customHeight="1" x14ac:dyDescent="0.25">
      <c r="B82" s="52">
        <f t="shared" si="1"/>
        <v>6</v>
      </c>
      <c r="C82" s="66">
        <f t="shared" si="2"/>
        <v>653.35072249897007</v>
      </c>
      <c r="D82" s="66">
        <f t="shared" si="0"/>
        <v>6.3375020082400102</v>
      </c>
    </row>
    <row r="83" spans="2:13" s="27" customFormat="1" ht="15.95" customHeight="1" x14ac:dyDescent="0.25">
      <c r="B83" s="52">
        <f t="shared" si="1"/>
        <v>7</v>
      </c>
      <c r="C83" s="66">
        <f t="shared" si="2"/>
        <v>659.68822450721007</v>
      </c>
      <c r="D83" s="66">
        <f t="shared" si="0"/>
        <v>6.3989757777199374</v>
      </c>
    </row>
    <row r="84" spans="2:13" s="27" customFormat="1" ht="15.95" customHeight="1" x14ac:dyDescent="0.25">
      <c r="B84" s="52">
        <f t="shared" si="1"/>
        <v>8</v>
      </c>
      <c r="C84" s="66">
        <f t="shared" si="2"/>
        <v>666.08720028492996</v>
      </c>
      <c r="D84" s="66">
        <f t="shared" si="0"/>
        <v>6.4610458427638209</v>
      </c>
    </row>
    <row r="85" spans="2:13" s="27" customFormat="1" ht="15.95" customHeight="1" x14ac:dyDescent="0.25">
      <c r="B85" s="52">
        <f t="shared" si="1"/>
        <v>9</v>
      </c>
      <c r="C85" s="66">
        <f t="shared" si="2"/>
        <v>672.5482461276938</v>
      </c>
      <c r="D85" s="66">
        <f t="shared" si="0"/>
        <v>6.52371798743863</v>
      </c>
    </row>
    <row r="86" spans="2:13" s="27" customFormat="1" ht="15.95" customHeight="1" x14ac:dyDescent="0.25">
      <c r="B86" s="52">
        <f t="shared" si="1"/>
        <v>10</v>
      </c>
      <c r="C86" s="66">
        <f t="shared" si="2"/>
        <v>679.07196411513246</v>
      </c>
      <c r="D86" s="66">
        <f t="shared" si="0"/>
        <v>6.586998051916785</v>
      </c>
    </row>
    <row r="87" spans="2:13" s="27" customFormat="1" ht="15.95" customHeight="1" x14ac:dyDescent="0.25">
      <c r="B87" s="52">
        <f t="shared" si="1"/>
        <v>11</v>
      </c>
      <c r="C87" s="66">
        <f t="shared" si="2"/>
        <v>685.65896216704925</v>
      </c>
      <c r="D87" s="66">
        <f t="shared" si="0"/>
        <v>6.650891933020378</v>
      </c>
    </row>
    <row r="88" spans="2:13" s="27" customFormat="1" ht="15.95" customHeight="1" x14ac:dyDescent="0.25">
      <c r="B88" s="52">
        <f t="shared" si="1"/>
        <v>12</v>
      </c>
      <c r="C88" s="66">
        <f t="shared" si="2"/>
        <v>692.30985410006963</v>
      </c>
      <c r="D88" s="66">
        <f t="shared" si="0"/>
        <v>6.715405584770676</v>
      </c>
    </row>
    <row r="89" spans="2:13" s="27" customFormat="1" ht="15.95" customHeight="1" x14ac:dyDescent="0.25">
      <c r="B89" s="52">
        <f t="shared" si="1"/>
        <v>13</v>
      </c>
      <c r="C89" s="66">
        <f t="shared" ref="C89:C91" si="3">C88+D88</f>
        <v>699.02525968484031</v>
      </c>
      <c r="D89" s="66">
        <f t="shared" si="0"/>
        <v>6.7805450189429513</v>
      </c>
    </row>
    <row r="90" spans="2:13" s="27" customFormat="1" ht="15.95" customHeight="1" x14ac:dyDescent="0.25">
      <c r="B90" s="52">
        <f t="shared" si="1"/>
        <v>14</v>
      </c>
      <c r="C90" s="66">
        <f t="shared" si="3"/>
        <v>705.80580470378322</v>
      </c>
      <c r="D90" s="66">
        <f t="shared" si="0"/>
        <v>6.8463163056266971</v>
      </c>
    </row>
    <row r="91" spans="2:13" s="51" customFormat="1" ht="15.95" customHeight="1" x14ac:dyDescent="0.25">
      <c r="B91" s="180">
        <f t="shared" si="1"/>
        <v>15</v>
      </c>
      <c r="C91" s="181">
        <f t="shared" si="3"/>
        <v>712.65212100940994</v>
      </c>
      <c r="D91" s="181">
        <f t="shared" si="0"/>
        <v>6.9127255737912767</v>
      </c>
    </row>
    <row r="92" spans="2:13" s="51" customFormat="1" ht="15.95" customHeight="1" x14ac:dyDescent="0.25">
      <c r="B92" s="216" t="s">
        <v>113</v>
      </c>
      <c r="C92" s="217"/>
      <c r="D92" s="136">
        <f ca="1">SUM(D63:INDIRECT(ADDRESS(ROW($D$92)-1,4)))</f>
        <v>96.999999999999716</v>
      </c>
    </row>
    <row r="93" spans="2:13" s="27" customFormat="1" ht="15.95" customHeight="1" thickBot="1" x14ac:dyDescent="0.3">
      <c r="B93" s="224" t="str">
        <f ca="1">IF(OR(($D$92-$C$101)&gt;0.01,($D$92-$C$101)&lt;-0.01,),"FALTA ATUALIZAR A TABELA 07","")</f>
        <v/>
      </c>
      <c r="C93" s="225"/>
      <c r="D93" s="226"/>
      <c r="E93" s="32"/>
      <c r="F93" s="32"/>
      <c r="G93" s="32"/>
      <c r="H93" s="32"/>
      <c r="I93" s="32"/>
      <c r="J93" s="32"/>
      <c r="K93" s="32"/>
      <c r="L93" s="32"/>
      <c r="M93" s="32"/>
    </row>
    <row r="94" spans="2:13" s="27" customFormat="1" ht="24.95" customHeight="1" x14ac:dyDescent="0.25">
      <c r="B94" s="106" t="s">
        <v>71</v>
      </c>
      <c r="C94" s="80"/>
      <c r="D94" s="107"/>
      <c r="E94" s="107"/>
      <c r="F94" s="108"/>
      <c r="G94" s="157"/>
      <c r="H94" s="112"/>
      <c r="I94" s="68"/>
      <c r="J94" s="112"/>
      <c r="K94" s="29"/>
      <c r="L94" s="29"/>
    </row>
    <row r="95" spans="2:13" s="27" customFormat="1" ht="15.95" customHeight="1" x14ac:dyDescent="0.25">
      <c r="B95" s="110" t="s">
        <v>252</v>
      </c>
      <c r="C95" s="29"/>
      <c r="D95" s="111"/>
      <c r="E95" s="111"/>
      <c r="F95" s="112"/>
      <c r="G95" s="157"/>
      <c r="H95" s="112"/>
      <c r="I95" s="68"/>
      <c r="J95" s="112"/>
      <c r="K95" s="29"/>
      <c r="L95" s="29"/>
    </row>
    <row r="96" spans="2:13" s="27" customFormat="1" ht="15.95" customHeight="1" x14ac:dyDescent="0.25">
      <c r="B96" s="82" t="s">
        <v>122</v>
      </c>
      <c r="C96" s="29"/>
      <c r="D96" s="113"/>
      <c r="E96" s="113"/>
      <c r="F96" s="29"/>
      <c r="G96" s="84"/>
      <c r="H96" s="29"/>
      <c r="I96" s="29"/>
      <c r="J96" s="29"/>
      <c r="K96" s="29"/>
      <c r="L96" s="29"/>
    </row>
    <row r="97" spans="1:12" s="27" customFormat="1" ht="15.95" customHeight="1" x14ac:dyDescent="0.25">
      <c r="B97" s="82" t="s">
        <v>161</v>
      </c>
      <c r="C97" s="29"/>
      <c r="D97" s="113"/>
      <c r="E97" s="113"/>
      <c r="F97" s="29"/>
      <c r="G97" s="84"/>
      <c r="H97" s="29"/>
      <c r="I97" s="29"/>
      <c r="J97" s="29"/>
      <c r="K97" s="29"/>
      <c r="L97" s="29"/>
    </row>
    <row r="98" spans="1:12" s="27" customFormat="1" ht="15.95" customHeight="1" x14ac:dyDescent="0.25">
      <c r="B98" s="35"/>
      <c r="C98" s="29"/>
      <c r="D98" s="123"/>
      <c r="E98" s="123"/>
      <c r="F98" s="123"/>
      <c r="G98" s="35"/>
      <c r="H98" s="29"/>
      <c r="I98" s="29"/>
      <c r="J98" s="29"/>
      <c r="K98" s="29"/>
      <c r="L98" s="29"/>
    </row>
    <row r="99" spans="1:12" s="27" customFormat="1" ht="24.95" customHeight="1" x14ac:dyDescent="0.25">
      <c r="B99" s="154" t="s">
        <v>65</v>
      </c>
      <c r="C99" s="29"/>
      <c r="D99" s="38"/>
      <c r="E99" s="38"/>
      <c r="F99" s="38"/>
      <c r="G99" s="82"/>
      <c r="H99" s="29"/>
      <c r="I99" s="29"/>
      <c r="J99" s="29"/>
      <c r="K99" s="29"/>
      <c r="L99" s="29"/>
    </row>
    <row r="100" spans="1:12" s="27" customFormat="1" ht="20.100000000000001" customHeight="1" x14ac:dyDescent="0.25">
      <c r="B100" s="115" t="s">
        <v>19</v>
      </c>
      <c r="C100" s="116" t="s">
        <v>37</v>
      </c>
      <c r="D100" s="29"/>
      <c r="F100" s="38"/>
      <c r="G100" s="84"/>
      <c r="H100" s="29"/>
      <c r="I100" s="29"/>
      <c r="J100" s="29"/>
      <c r="K100" s="29"/>
      <c r="L100" s="29"/>
    </row>
    <row r="101" spans="1:12" s="27" customFormat="1" ht="15.95" customHeight="1" thickBot="1" x14ac:dyDescent="0.3">
      <c r="B101" s="48">
        <f>$C$69</f>
        <v>15</v>
      </c>
      <c r="C101" s="137">
        <f>VLOOKUP($B$101,Tabela_06,4,0)</f>
        <v>97</v>
      </c>
      <c r="D101" s="138"/>
      <c r="E101" s="86"/>
      <c r="F101" s="120"/>
      <c r="G101" s="158"/>
      <c r="H101" s="29"/>
      <c r="I101" s="159"/>
      <c r="J101" s="29"/>
      <c r="K101" s="159"/>
      <c r="L101" s="29"/>
    </row>
    <row r="102" spans="1:12" s="27" customFormat="1" ht="15.95" customHeight="1" x14ac:dyDescent="0.25">
      <c r="C102" s="103"/>
      <c r="D102" s="103"/>
      <c r="E102" s="103"/>
      <c r="F102" s="103"/>
    </row>
    <row r="103" spans="1:12" s="131" customFormat="1" ht="24.95" customHeight="1" x14ac:dyDescent="0.25">
      <c r="B103" s="150" t="s">
        <v>157</v>
      </c>
    </row>
    <row r="104" spans="1:12" s="32" customFormat="1" ht="15.95" customHeight="1" x14ac:dyDescent="0.25">
      <c r="A104" s="47"/>
      <c r="B104" s="156" t="s">
        <v>154</v>
      </c>
    </row>
    <row r="105" spans="1:12" s="27" customFormat="1" ht="20.100000000000001" customHeight="1" x14ac:dyDescent="0.25">
      <c r="C105" s="222" t="s">
        <v>155</v>
      </c>
      <c r="D105" s="223"/>
      <c r="G105"/>
      <c r="H105"/>
      <c r="I105"/>
      <c r="J105"/>
      <c r="K105"/>
    </row>
    <row r="106" spans="1:12" s="27" customFormat="1" ht="15.95" customHeight="1" x14ac:dyDescent="0.25">
      <c r="B106" s="70"/>
      <c r="C106" s="134">
        <v>4</v>
      </c>
      <c r="D106" s="134">
        <v>15</v>
      </c>
      <c r="G106" s="32"/>
      <c r="H106" s="32"/>
      <c r="I106" s="32"/>
      <c r="J106" s="32"/>
      <c r="K106" s="32"/>
    </row>
    <row r="107" spans="1:12" s="32" customFormat="1" ht="15.95" customHeight="1" x14ac:dyDescent="0.25">
      <c r="C107" s="219" t="str">
        <f>IF(OR($D$106&gt;$C$69,$C$106&gt;=$D$106,$D$106&lt;12,($D$106-$C$106)&lt;&gt;11),"PERÍODO INCORRETO","")</f>
        <v/>
      </c>
      <c r="D107" s="220"/>
    </row>
    <row r="108" spans="1:12" s="131" customFormat="1" ht="24.95" customHeight="1" x14ac:dyDescent="0.25">
      <c r="B108" s="150" t="s">
        <v>158</v>
      </c>
    </row>
    <row r="109" spans="1:12" s="32" customFormat="1" ht="15.95" customHeight="1" x14ac:dyDescent="0.25">
      <c r="B109" s="32" t="s">
        <v>251</v>
      </c>
    </row>
    <row r="110" spans="1:12" s="32" customFormat="1" ht="15.95" customHeight="1" x14ac:dyDescent="0.25">
      <c r="B110" s="32" t="s">
        <v>165</v>
      </c>
    </row>
    <row r="111" spans="1:12" s="32" customFormat="1" ht="15.95" customHeight="1" x14ac:dyDescent="0.25">
      <c r="B111" s="32" t="s">
        <v>258</v>
      </c>
    </row>
    <row r="112" spans="1:12" s="32" customFormat="1" ht="15.95" customHeight="1" x14ac:dyDescent="0.25"/>
    <row r="113" spans="2:12" s="32" customFormat="1" ht="24.95" customHeight="1" x14ac:dyDescent="0.25">
      <c r="B113" s="152" t="s">
        <v>248</v>
      </c>
      <c r="F113" s="152" t="s">
        <v>249</v>
      </c>
      <c r="J113" s="152" t="s">
        <v>250</v>
      </c>
    </row>
    <row r="114" spans="2:12" ht="20.100000000000001" customHeight="1" x14ac:dyDescent="0.25">
      <c r="B114" s="218" t="str">
        <f>CONCATENATE("Prestação ",$C$69," - meses ",$C$106," a ",$D$106)</f>
        <v>Prestação 15 - meses 4 a 15</v>
      </c>
      <c r="C114" s="221"/>
      <c r="D114" s="221"/>
      <c r="F114" s="218" t="str">
        <f>CONCATENATE("Prestação ",$C$69," - meses ",$C$106," a ",$D$106)</f>
        <v>Prestação 15 - meses 4 a 15</v>
      </c>
      <c r="G114" s="221"/>
      <c r="H114" s="221"/>
      <c r="J114" s="218" t="str">
        <f>CONCATENATE("Prestação ",$C$69," - meses ",$C$106," a ",$D$106)</f>
        <v>Prestação 15 - meses 4 a 15</v>
      </c>
      <c r="K114" s="221"/>
      <c r="L114" s="221"/>
    </row>
    <row r="115" spans="2:12" ht="20.100000000000001" customHeight="1" x14ac:dyDescent="0.25">
      <c r="B115" s="50" t="s">
        <v>46</v>
      </c>
      <c r="C115" s="5" t="s">
        <v>23</v>
      </c>
      <c r="D115" s="49" t="s">
        <v>47</v>
      </c>
      <c r="F115" s="50" t="s">
        <v>46</v>
      </c>
      <c r="G115" s="5" t="s">
        <v>23</v>
      </c>
      <c r="H115" s="49" t="s">
        <v>47</v>
      </c>
      <c r="J115" s="50" t="s">
        <v>46</v>
      </c>
      <c r="K115" s="5" t="s">
        <v>171</v>
      </c>
      <c r="L115" s="49" t="s">
        <v>47</v>
      </c>
    </row>
    <row r="116" spans="2:12" s="32" customFormat="1" ht="15.95" customHeight="1" x14ac:dyDescent="0.25">
      <c r="B116" s="6">
        <f>$C$106</f>
        <v>4</v>
      </c>
      <c r="C116" s="71">
        <f>VLOOKUP($C$106,Tabela_09_prestação,2,0)</f>
        <v>640.85778319614394</v>
      </c>
      <c r="D116" s="71">
        <f t="shared" ref="D116:D127" si="4">$F$11*$C116</f>
        <v>6.216320497002596</v>
      </c>
      <c r="F116" s="6">
        <f>$C$106</f>
        <v>4</v>
      </c>
      <c r="G116" s="71">
        <f>VLOOKUP($C$106,Tabela_09_prestação,2,0)</f>
        <v>640.85778319614394</v>
      </c>
      <c r="H116" s="71">
        <f t="shared" ref="H116:H127" si="5">$F$11*$G116</f>
        <v>6.216320497002596</v>
      </c>
      <c r="J116" s="6">
        <f>$C$106</f>
        <v>4</v>
      </c>
      <c r="K116" s="71">
        <v>0</v>
      </c>
      <c r="L116" s="71">
        <f t="shared" ref="L116:L127" si="6">$F$11*$K116</f>
        <v>0</v>
      </c>
    </row>
    <row r="117" spans="2:12" s="32" customFormat="1" ht="15.95" customHeight="1" x14ac:dyDescent="0.25">
      <c r="B117" s="6">
        <f>B116+1</f>
        <v>5</v>
      </c>
      <c r="C117" s="71">
        <f>C116+D116</f>
        <v>647.07410369314653</v>
      </c>
      <c r="D117" s="71">
        <f t="shared" si="4"/>
        <v>6.2766188058235217</v>
      </c>
      <c r="F117" s="6">
        <f>F116+1</f>
        <v>5</v>
      </c>
      <c r="G117" s="71">
        <f>G116</f>
        <v>640.85778319614394</v>
      </c>
      <c r="H117" s="71">
        <f t="shared" si="5"/>
        <v>6.216320497002596</v>
      </c>
      <c r="J117" s="6">
        <f>J116+1</f>
        <v>5</v>
      </c>
      <c r="K117" s="71">
        <f>K116+H116+L116</f>
        <v>6.216320497002596</v>
      </c>
      <c r="L117" s="71">
        <f t="shared" si="6"/>
        <v>6.0298308820925184E-2</v>
      </c>
    </row>
    <row r="118" spans="2:12" s="32" customFormat="1" ht="15.95" customHeight="1" x14ac:dyDescent="0.25">
      <c r="B118" s="6">
        <f t="shared" ref="B118:B127" si="7">B117+1</f>
        <v>6</v>
      </c>
      <c r="C118" s="71">
        <f t="shared" ref="C118:C127" si="8">C117+D117</f>
        <v>653.35072249897007</v>
      </c>
      <c r="D118" s="71">
        <f t="shared" si="4"/>
        <v>6.3375020082400102</v>
      </c>
      <c r="F118" s="6">
        <f t="shared" ref="F118:F127" si="9">F117+1</f>
        <v>6</v>
      </c>
      <c r="G118" s="71">
        <f t="shared" ref="G118:G127" si="10">G117</f>
        <v>640.85778319614394</v>
      </c>
      <c r="H118" s="71">
        <f t="shared" si="5"/>
        <v>6.216320497002596</v>
      </c>
      <c r="J118" s="6">
        <f t="shared" ref="J118:J126" si="11">J117+1</f>
        <v>6</v>
      </c>
      <c r="K118" s="71">
        <f t="shared" ref="K118:K127" si="12">K117+H117+L117</f>
        <v>12.492939302826118</v>
      </c>
      <c r="L118" s="71">
        <f t="shared" si="6"/>
        <v>0.12118151123741334</v>
      </c>
    </row>
    <row r="119" spans="2:12" s="32" customFormat="1" ht="15.95" customHeight="1" x14ac:dyDescent="0.25">
      <c r="B119" s="6">
        <f t="shared" si="7"/>
        <v>7</v>
      </c>
      <c r="C119" s="71">
        <f t="shared" si="8"/>
        <v>659.68822450721007</v>
      </c>
      <c r="D119" s="71">
        <f t="shared" si="4"/>
        <v>6.3989757777199374</v>
      </c>
      <c r="F119" s="6">
        <f t="shared" si="9"/>
        <v>7</v>
      </c>
      <c r="G119" s="71">
        <f t="shared" si="10"/>
        <v>640.85778319614394</v>
      </c>
      <c r="H119" s="71">
        <f t="shared" si="5"/>
        <v>6.216320497002596</v>
      </c>
      <c r="J119" s="6">
        <f t="shared" si="11"/>
        <v>7</v>
      </c>
      <c r="K119" s="71">
        <f t="shared" si="12"/>
        <v>18.830441311066128</v>
      </c>
      <c r="L119" s="71">
        <f t="shared" si="6"/>
        <v>0.18265528071734144</v>
      </c>
    </row>
    <row r="120" spans="2:12" s="32" customFormat="1" ht="15.95" customHeight="1" x14ac:dyDescent="0.25">
      <c r="B120" s="6">
        <f t="shared" si="7"/>
        <v>8</v>
      </c>
      <c r="C120" s="71">
        <f t="shared" si="8"/>
        <v>666.08720028492996</v>
      </c>
      <c r="D120" s="71">
        <f t="shared" si="4"/>
        <v>6.4610458427638209</v>
      </c>
      <c r="F120" s="6">
        <f t="shared" si="9"/>
        <v>8</v>
      </c>
      <c r="G120" s="71">
        <f t="shared" si="10"/>
        <v>640.85778319614394</v>
      </c>
      <c r="H120" s="71">
        <f t="shared" si="5"/>
        <v>6.216320497002596</v>
      </c>
      <c r="J120" s="6">
        <f t="shared" si="11"/>
        <v>8</v>
      </c>
      <c r="K120" s="71">
        <f t="shared" si="12"/>
        <v>25.229417088786064</v>
      </c>
      <c r="L120" s="71">
        <f t="shared" si="6"/>
        <v>0.24472534576122484</v>
      </c>
    </row>
    <row r="121" spans="2:12" s="32" customFormat="1" ht="15.95" customHeight="1" x14ac:dyDescent="0.25">
      <c r="B121" s="6">
        <f t="shared" si="7"/>
        <v>9</v>
      </c>
      <c r="C121" s="71">
        <f t="shared" si="8"/>
        <v>672.5482461276938</v>
      </c>
      <c r="D121" s="71">
        <f t="shared" si="4"/>
        <v>6.52371798743863</v>
      </c>
      <c r="F121" s="6">
        <f t="shared" si="9"/>
        <v>9</v>
      </c>
      <c r="G121" s="71">
        <f t="shared" si="10"/>
        <v>640.85778319614394</v>
      </c>
      <c r="H121" s="71">
        <f t="shared" si="5"/>
        <v>6.216320497002596</v>
      </c>
      <c r="J121" s="6">
        <f t="shared" si="11"/>
        <v>9</v>
      </c>
      <c r="K121" s="71">
        <f t="shared" si="12"/>
        <v>31.690462931549884</v>
      </c>
      <c r="L121" s="71">
        <f t="shared" si="6"/>
        <v>0.30739749043603387</v>
      </c>
    </row>
    <row r="122" spans="2:12" s="32" customFormat="1" ht="15.95" customHeight="1" x14ac:dyDescent="0.25">
      <c r="B122" s="6">
        <f t="shared" si="7"/>
        <v>10</v>
      </c>
      <c r="C122" s="71">
        <f t="shared" si="8"/>
        <v>679.07196411513246</v>
      </c>
      <c r="D122" s="71">
        <f t="shared" si="4"/>
        <v>6.586998051916785</v>
      </c>
      <c r="F122" s="6">
        <f t="shared" si="9"/>
        <v>10</v>
      </c>
      <c r="G122" s="71">
        <f t="shared" si="10"/>
        <v>640.85778319614394</v>
      </c>
      <c r="H122" s="71">
        <f t="shared" si="5"/>
        <v>6.216320497002596</v>
      </c>
      <c r="J122" s="6">
        <f t="shared" si="11"/>
        <v>10</v>
      </c>
      <c r="K122" s="71">
        <f t="shared" si="12"/>
        <v>38.214180918988511</v>
      </c>
      <c r="L122" s="71">
        <f t="shared" si="6"/>
        <v>0.37067755491418858</v>
      </c>
    </row>
    <row r="123" spans="2:12" s="32" customFormat="1" ht="15.95" customHeight="1" x14ac:dyDescent="0.25">
      <c r="B123" s="6">
        <f t="shared" si="7"/>
        <v>11</v>
      </c>
      <c r="C123" s="71">
        <f t="shared" si="8"/>
        <v>685.65896216704925</v>
      </c>
      <c r="D123" s="71">
        <f t="shared" si="4"/>
        <v>6.650891933020378</v>
      </c>
      <c r="F123" s="6">
        <f t="shared" si="9"/>
        <v>11</v>
      </c>
      <c r="G123" s="71">
        <f t="shared" si="10"/>
        <v>640.85778319614394</v>
      </c>
      <c r="H123" s="71">
        <f t="shared" si="5"/>
        <v>6.216320497002596</v>
      </c>
      <c r="J123" s="6">
        <f t="shared" si="11"/>
        <v>11</v>
      </c>
      <c r="K123" s="71">
        <f t="shared" si="12"/>
        <v>44.801178970905298</v>
      </c>
      <c r="L123" s="71">
        <f t="shared" si="6"/>
        <v>0.43457143601778142</v>
      </c>
    </row>
    <row r="124" spans="2:12" s="32" customFormat="1" ht="15.95" customHeight="1" x14ac:dyDescent="0.25">
      <c r="B124" s="6">
        <f t="shared" si="7"/>
        <v>12</v>
      </c>
      <c r="C124" s="71">
        <f t="shared" si="8"/>
        <v>692.30985410006963</v>
      </c>
      <c r="D124" s="71">
        <f t="shared" si="4"/>
        <v>6.715405584770676</v>
      </c>
      <c r="F124" s="6">
        <f t="shared" si="9"/>
        <v>12</v>
      </c>
      <c r="G124" s="71">
        <f t="shared" si="10"/>
        <v>640.85778319614394</v>
      </c>
      <c r="H124" s="71">
        <f t="shared" si="5"/>
        <v>6.216320497002596</v>
      </c>
      <c r="J124" s="6">
        <f t="shared" si="11"/>
        <v>12</v>
      </c>
      <c r="K124" s="71">
        <f t="shared" si="12"/>
        <v>51.45207090392568</v>
      </c>
      <c r="L124" s="71">
        <f t="shared" si="6"/>
        <v>0.49908508776807914</v>
      </c>
    </row>
    <row r="125" spans="2:12" s="32" customFormat="1" ht="15.95" customHeight="1" x14ac:dyDescent="0.25">
      <c r="B125" s="6">
        <f t="shared" si="7"/>
        <v>13</v>
      </c>
      <c r="C125" s="71">
        <f t="shared" si="8"/>
        <v>699.02525968484031</v>
      </c>
      <c r="D125" s="71">
        <f t="shared" si="4"/>
        <v>6.7805450189429513</v>
      </c>
      <c r="F125" s="6">
        <f t="shared" si="9"/>
        <v>13</v>
      </c>
      <c r="G125" s="71">
        <f t="shared" si="10"/>
        <v>640.85778319614394</v>
      </c>
      <c r="H125" s="71">
        <f t="shared" si="5"/>
        <v>6.216320497002596</v>
      </c>
      <c r="J125" s="6">
        <f t="shared" si="11"/>
        <v>13</v>
      </c>
      <c r="K125" s="71">
        <f t="shared" si="12"/>
        <v>58.167476488696359</v>
      </c>
      <c r="L125" s="71">
        <f t="shared" si="6"/>
        <v>0.56422452194035466</v>
      </c>
    </row>
    <row r="126" spans="2:12" s="32" customFormat="1" ht="15.95" customHeight="1" x14ac:dyDescent="0.25">
      <c r="B126" s="6">
        <f t="shared" si="7"/>
        <v>14</v>
      </c>
      <c r="C126" s="71">
        <f t="shared" si="8"/>
        <v>705.80580470378322</v>
      </c>
      <c r="D126" s="71">
        <f t="shared" si="4"/>
        <v>6.8463163056266971</v>
      </c>
      <c r="F126" s="6">
        <f t="shared" si="9"/>
        <v>14</v>
      </c>
      <c r="G126" s="71">
        <f t="shared" si="10"/>
        <v>640.85778319614394</v>
      </c>
      <c r="H126" s="71">
        <f t="shared" si="5"/>
        <v>6.216320497002596</v>
      </c>
      <c r="J126" s="6">
        <f t="shared" si="11"/>
        <v>14</v>
      </c>
      <c r="K126" s="71">
        <f t="shared" si="12"/>
        <v>64.948021507639311</v>
      </c>
      <c r="L126" s="71">
        <f t="shared" si="6"/>
        <v>0.62999580862410132</v>
      </c>
    </row>
    <row r="127" spans="2:12" s="32" customFormat="1" ht="15.95" customHeight="1" x14ac:dyDescent="0.25">
      <c r="B127" s="6">
        <f t="shared" si="7"/>
        <v>15</v>
      </c>
      <c r="C127" s="71">
        <f t="shared" si="8"/>
        <v>712.65212100940994</v>
      </c>
      <c r="D127" s="71">
        <f t="shared" si="4"/>
        <v>6.9127255737912767</v>
      </c>
      <c r="F127" s="6">
        <f t="shared" si="9"/>
        <v>15</v>
      </c>
      <c r="G127" s="71">
        <f t="shared" si="10"/>
        <v>640.85778319614394</v>
      </c>
      <c r="H127" s="71">
        <f t="shared" si="5"/>
        <v>6.216320497002596</v>
      </c>
      <c r="J127" s="6">
        <f>J126+1</f>
        <v>15</v>
      </c>
      <c r="K127" s="71">
        <f t="shared" si="12"/>
        <v>71.794337813266011</v>
      </c>
      <c r="L127" s="71">
        <f t="shared" si="6"/>
        <v>0.69640507678868036</v>
      </c>
    </row>
    <row r="128" spans="2:12" s="32" customFormat="1" ht="15.95" customHeight="1" x14ac:dyDescent="0.25">
      <c r="D128" s="127">
        <f>SUM(D116:D127)</f>
        <v>78.707063387057289</v>
      </c>
      <c r="H128" s="127">
        <f>SUM(H116:H127)</f>
        <v>74.59584596403117</v>
      </c>
      <c r="L128" s="127">
        <f>SUM(L116:L127)</f>
        <v>4.1112174230261243</v>
      </c>
    </row>
    <row r="129" spans="2:20" s="32" customFormat="1" ht="15.95" customHeight="1" x14ac:dyDescent="0.25"/>
    <row r="130" spans="2:20" s="131" customFormat="1" ht="24.95" customHeight="1" x14ac:dyDescent="0.25">
      <c r="B130" s="141" t="s">
        <v>162</v>
      </c>
    </row>
    <row r="131" spans="2:20" s="32" customFormat="1" ht="15.95" customHeight="1" x14ac:dyDescent="0.25">
      <c r="B131" s="32" t="str">
        <f>CONCATENATE("•  Prestação ",$C$69," - meses ",$C$106," a ",$D$106)</f>
        <v>•  Prestação 15 - meses 4 a 15</v>
      </c>
    </row>
    <row r="132" spans="2:20" s="32" customFormat="1" ht="15.95" customHeight="1" x14ac:dyDescent="0.25">
      <c r="T132" s="126"/>
    </row>
    <row r="133" spans="2:20" s="32" customFormat="1" ht="20.100000000000001" customHeight="1" x14ac:dyDescent="0.25">
      <c r="C133" s="221" t="s">
        <v>60</v>
      </c>
      <c r="D133" s="221"/>
      <c r="E133" s="221"/>
      <c r="G133" s="214" t="s">
        <v>59</v>
      </c>
      <c r="H133" s="227"/>
      <c r="I133" s="215"/>
      <c r="K133" s="221" t="s">
        <v>163</v>
      </c>
      <c r="L133" s="221"/>
      <c r="M133" s="221"/>
      <c r="Q133" s="4"/>
      <c r="R133" s="4"/>
      <c r="S133" s="4"/>
    </row>
    <row r="134" spans="2:20" s="32" customFormat="1" ht="20.100000000000001" customHeight="1" x14ac:dyDescent="0.25">
      <c r="C134" s="124" t="str">
        <f>CONCATENATE("Principal do mês ",$C$106)</f>
        <v>Principal do mês 4</v>
      </c>
      <c r="D134" s="124" t="str">
        <f>CONCATENATE("Juros ",$C$106," a ",$D$106)</f>
        <v>Juros 4 a 15</v>
      </c>
      <c r="E134" s="124" t="s">
        <v>48</v>
      </c>
      <c r="G134" s="124" t="str">
        <f>CONCATENATE("Principal do mês ",$C$106)</f>
        <v>Principal do mês 4</v>
      </c>
      <c r="H134" s="124" t="str">
        <f>CONCATENATE("Juros ",$C$106," a ",$D$106)</f>
        <v>Juros 4 a 15</v>
      </c>
      <c r="I134" s="124" t="s">
        <v>48</v>
      </c>
      <c r="K134" s="124" t="str">
        <f>CONCATENATE("Principal do mês ",$C$106)</f>
        <v>Principal do mês 4</v>
      </c>
      <c r="L134" s="124" t="str">
        <f>CONCATENATE("Juros ",$C$106," a ",$D$106)</f>
        <v>Juros 4 a 15</v>
      </c>
      <c r="M134" s="124" t="s">
        <v>48</v>
      </c>
      <c r="Q134" s="4"/>
      <c r="R134" s="4"/>
      <c r="S134" s="4"/>
    </row>
    <row r="135" spans="2:20" s="32" customFormat="1" ht="15.95" customHeight="1" x14ac:dyDescent="0.25">
      <c r="C135" s="71">
        <f>$C$116</f>
        <v>640.85778319614394</v>
      </c>
      <c r="D135" s="71">
        <f>$D$128</f>
        <v>78.707063387057289</v>
      </c>
      <c r="E135" s="128">
        <f>D135/C135</f>
        <v>0.12281517904724867</v>
      </c>
      <c r="G135" s="71">
        <f>$G$116</f>
        <v>640.85778319614394</v>
      </c>
      <c r="H135" s="71">
        <f>$H$128</f>
        <v>74.59584596403117</v>
      </c>
      <c r="I135" s="128">
        <f>H135/G135</f>
        <v>0.11640000000000002</v>
      </c>
      <c r="K135" s="71">
        <f>$G$116</f>
        <v>640.85778319614394</v>
      </c>
      <c r="L135" s="71">
        <f>$L$128</f>
        <v>4.1112174230261243</v>
      </c>
      <c r="M135" s="128">
        <f>L135/K135</f>
        <v>6.4151790472486555E-3</v>
      </c>
      <c r="N135" s="129"/>
      <c r="Q135" s="1"/>
      <c r="R135" s="1"/>
      <c r="S135" s="1"/>
    </row>
    <row r="136" spans="2:20" s="32" customFormat="1" ht="15.95" customHeight="1" x14ac:dyDescent="0.25">
      <c r="C136" s="1"/>
      <c r="D136" s="1"/>
      <c r="E136" s="130"/>
      <c r="G136" s="1"/>
      <c r="H136" s="1"/>
      <c r="J136" s="1"/>
      <c r="K136" s="1"/>
      <c r="L136" s="130"/>
      <c r="M136" s="1"/>
      <c r="N136" s="129"/>
      <c r="Q136" s="1"/>
      <c r="R136" s="1"/>
      <c r="S136" s="1"/>
    </row>
    <row r="137" spans="2:20" s="32" customFormat="1" ht="15.95" customHeight="1" x14ac:dyDescent="0.25">
      <c r="C137" s="132" t="str">
        <f>CONCATENATE("Juros mês ",$C$106)</f>
        <v>Juros mês 4</v>
      </c>
      <c r="D137" s="71">
        <f>$D$116</f>
        <v>6.216320497002596</v>
      </c>
      <c r="E137" s="130"/>
      <c r="G137" s="132" t="str">
        <f>CONCATENATE("Juros mês ",$C$106)</f>
        <v>Juros mês 4</v>
      </c>
      <c r="H137" s="71">
        <f>$H$116</f>
        <v>6.216320497002596</v>
      </c>
      <c r="M137" s="1"/>
      <c r="N137" s="129"/>
      <c r="Q137" s="1"/>
      <c r="R137" s="1"/>
      <c r="S137" s="1"/>
    </row>
    <row r="138" spans="2:20" s="32" customFormat="1" ht="15.95" customHeight="1" x14ac:dyDescent="0.25">
      <c r="C138" s="132" t="str">
        <f>CONCATENATE("Duodécuplo mês ",$C$106)</f>
        <v>Duodécuplo mês 4</v>
      </c>
      <c r="D138" s="71">
        <f>D137*12</f>
        <v>74.595845964031156</v>
      </c>
      <c r="E138" s="130"/>
      <c r="G138" s="132" t="str">
        <f>CONCATENATE("Duodécuplo mês ",$C$106)</f>
        <v>Duodécuplo mês 4</v>
      </c>
      <c r="H138" s="71">
        <f>H137*12</f>
        <v>74.595845964031156</v>
      </c>
      <c r="M138" s="1"/>
      <c r="N138" s="129"/>
      <c r="Q138" s="1"/>
      <c r="R138" s="1"/>
      <c r="S138" s="1"/>
    </row>
    <row r="139" spans="2:20" s="32" customFormat="1" ht="15.95" customHeight="1" x14ac:dyDescent="0.25">
      <c r="C139" s="132" t="s">
        <v>160</v>
      </c>
      <c r="D139" s="71">
        <f>$D$135-$D$138</f>
        <v>4.1112174230261331</v>
      </c>
      <c r="E139" s="130"/>
      <c r="G139" s="132" t="s">
        <v>159</v>
      </c>
      <c r="H139" s="71">
        <f>$H$135-$H$138</f>
        <v>0</v>
      </c>
      <c r="M139" s="1"/>
      <c r="N139" s="129"/>
      <c r="Q139" s="1"/>
      <c r="R139" s="1"/>
      <c r="S139" s="1"/>
    </row>
    <row r="140" spans="2:20" s="32" customFormat="1" ht="15.95" customHeight="1" x14ac:dyDescent="0.25">
      <c r="C140" s="1"/>
      <c r="D140" s="1"/>
      <c r="E140" s="130"/>
      <c r="J140" s="1"/>
      <c r="K140" s="1"/>
      <c r="L140" s="130"/>
      <c r="M140" s="1"/>
      <c r="N140" s="129"/>
      <c r="Q140" s="1"/>
      <c r="R140" s="1"/>
      <c r="S140" s="1"/>
    </row>
    <row r="141" spans="2:20" s="32" customFormat="1" ht="15.95" customHeight="1" x14ac:dyDescent="0.25">
      <c r="B141" s="32" t="s">
        <v>57</v>
      </c>
    </row>
    <row r="142" spans="2:20" s="32" customFormat="1" ht="15.95" customHeight="1" x14ac:dyDescent="0.25">
      <c r="B142" s="32" t="s">
        <v>253</v>
      </c>
    </row>
    <row r="143" spans="2:20" s="32" customFormat="1" ht="15.95" customHeight="1" x14ac:dyDescent="0.25">
      <c r="B143" s="32" t="s">
        <v>218</v>
      </c>
    </row>
    <row r="144" spans="2:20" s="32" customFormat="1" ht="15.95" customHeight="1" x14ac:dyDescent="0.25">
      <c r="B144" s="32" t="s">
        <v>183</v>
      </c>
    </row>
    <row r="145" spans="2:7" s="32" customFormat="1" ht="15.95" customHeight="1" x14ac:dyDescent="0.25">
      <c r="B145" s="32" t="s">
        <v>84</v>
      </c>
    </row>
    <row r="146" spans="2:7" s="32" customFormat="1" ht="15.95" customHeight="1" x14ac:dyDescent="0.25"/>
    <row r="147" spans="2:7" s="32" customFormat="1" ht="15.95" customHeight="1" x14ac:dyDescent="0.25">
      <c r="B147" s="32" t="s">
        <v>56</v>
      </c>
    </row>
    <row r="148" spans="2:7" s="32" customFormat="1" ht="15.95" customHeight="1" x14ac:dyDescent="0.25">
      <c r="B148" s="32" t="s">
        <v>254</v>
      </c>
    </row>
    <row r="149" spans="2:7" s="32" customFormat="1" ht="15.95" customHeight="1" x14ac:dyDescent="0.25">
      <c r="B149" s="32" t="s">
        <v>83</v>
      </c>
    </row>
    <row r="150" spans="2:7" s="32" customFormat="1" ht="15.95" customHeight="1" x14ac:dyDescent="0.25">
      <c r="B150" s="32" t="s">
        <v>219</v>
      </c>
    </row>
    <row r="151" spans="2:7" s="32" customFormat="1" ht="15.95" customHeight="1" x14ac:dyDescent="0.25">
      <c r="B151" s="32" t="s">
        <v>184</v>
      </c>
    </row>
    <row r="152" spans="2:7" s="32" customFormat="1" ht="15.95" customHeight="1" x14ac:dyDescent="0.25">
      <c r="C152" s="1"/>
      <c r="D152" s="76"/>
      <c r="E152" s="1"/>
      <c r="F152" s="76"/>
      <c r="G152" s="75"/>
    </row>
    <row r="153" spans="2:7" s="32" customFormat="1" ht="15.95" customHeight="1" x14ac:dyDescent="0.25">
      <c r="B153" s="32" t="s">
        <v>58</v>
      </c>
    </row>
    <row r="154" spans="2:7" s="32" customFormat="1" ht="15.95" customHeight="1" x14ac:dyDescent="0.25">
      <c r="B154" s="32" t="s">
        <v>255</v>
      </c>
    </row>
    <row r="155" spans="2:7" s="32" customFormat="1" ht="15.95" customHeight="1" x14ac:dyDescent="0.25">
      <c r="B155" s="32" t="s">
        <v>173</v>
      </c>
    </row>
    <row r="156" spans="2:7" s="32" customFormat="1" ht="15.95" customHeight="1" x14ac:dyDescent="0.25">
      <c r="B156" s="32" t="s">
        <v>256</v>
      </c>
    </row>
    <row r="157" spans="2:7" s="32" customFormat="1" ht="15.95" customHeight="1" x14ac:dyDescent="0.25">
      <c r="B157" s="32" t="s">
        <v>54</v>
      </c>
    </row>
    <row r="158" spans="2:7" s="32" customFormat="1" ht="15.95" customHeight="1" x14ac:dyDescent="0.25"/>
    <row r="159" spans="2:7" s="27" customFormat="1" ht="15.95" customHeight="1" x14ac:dyDescent="0.25">
      <c r="B159" s="27" t="s">
        <v>200</v>
      </c>
    </row>
    <row r="160" spans="2:7" s="27" customFormat="1" ht="15.95" customHeight="1" x14ac:dyDescent="0.25">
      <c r="B160" s="27" t="s">
        <v>179</v>
      </c>
    </row>
    <row r="161" spans="1:4" s="32" customFormat="1" ht="15.95" customHeight="1" x14ac:dyDescent="0.25"/>
    <row r="162" spans="1:4" s="32" customFormat="1" ht="22.5" customHeight="1" x14ac:dyDescent="0.25">
      <c r="D162" s="140">
        <f>L135</f>
        <v>4.1112174230261243</v>
      </c>
    </row>
    <row r="163" spans="1:4" s="32" customFormat="1" ht="15.95" customHeight="1" x14ac:dyDescent="0.25"/>
    <row r="164" spans="1:4" s="32" customFormat="1" ht="24.95" customHeight="1" x14ac:dyDescent="0.25">
      <c r="A164" s="148" t="s">
        <v>199</v>
      </c>
    </row>
    <row r="165" spans="1:4" s="32" customFormat="1" ht="15.95" customHeight="1" x14ac:dyDescent="0.25">
      <c r="B165" s="32" t="s">
        <v>98</v>
      </c>
    </row>
    <row r="166" spans="1:4" s="32" customFormat="1" ht="15.95" customHeight="1" x14ac:dyDescent="0.25">
      <c r="B166" s="32" t="s">
        <v>128</v>
      </c>
    </row>
    <row r="167" spans="1:4" s="32" customFormat="1" ht="15.95" customHeight="1" x14ac:dyDescent="0.25">
      <c r="B167" s="32" t="s">
        <v>126</v>
      </c>
    </row>
    <row r="168" spans="1:4" s="32" customFormat="1" ht="15.95" customHeight="1" x14ac:dyDescent="0.25">
      <c r="B168" s="32" t="s">
        <v>127</v>
      </c>
    </row>
    <row r="169" spans="1:4" s="32" customFormat="1" ht="15.95" customHeight="1" x14ac:dyDescent="0.25">
      <c r="B169" s="32" t="s">
        <v>145</v>
      </c>
    </row>
    <row r="170" spans="1:4" s="32" customFormat="1" ht="15.95" customHeight="1" x14ac:dyDescent="0.25"/>
    <row r="171" spans="1:4" s="139" customFormat="1" ht="20.100000000000001" customHeight="1" x14ac:dyDescent="0.25">
      <c r="C171" s="74" t="s">
        <v>168</v>
      </c>
    </row>
    <row r="172" spans="1:4" s="139" customFormat="1" ht="20.100000000000001" customHeight="1" x14ac:dyDescent="0.25">
      <c r="C172" s="74" t="s">
        <v>166</v>
      </c>
    </row>
    <row r="173" spans="1:4" s="139" customFormat="1" ht="20.100000000000001" customHeight="1" x14ac:dyDescent="0.25">
      <c r="C173" s="74" t="s">
        <v>164</v>
      </c>
    </row>
    <row r="174" spans="1:4" s="139" customFormat="1" ht="20.100000000000001" customHeight="1" x14ac:dyDescent="0.25">
      <c r="C174" s="74" t="s">
        <v>167</v>
      </c>
    </row>
    <row r="175" spans="1:4" ht="15.95" customHeight="1" x14ac:dyDescent="0.25"/>
    <row r="176" spans="1:4" ht="15.95" customHeight="1" x14ac:dyDescent="0.25">
      <c r="B176" s="182" t="s">
        <v>268</v>
      </c>
    </row>
    <row r="177" spans="2:2" ht="15.95" customHeight="1" x14ac:dyDescent="0.25">
      <c r="B177" t="s">
        <v>269</v>
      </c>
    </row>
    <row r="178" spans="2:2" ht="15.95" customHeight="1" x14ac:dyDescent="0.25">
      <c r="B178" t="s">
        <v>270</v>
      </c>
    </row>
    <row r="179" spans="2:2" ht="15.95" customHeight="1" x14ac:dyDescent="0.25">
      <c r="B179" t="s">
        <v>271</v>
      </c>
    </row>
    <row r="180" spans="2:2" ht="15.95" customHeight="1" x14ac:dyDescent="0.25">
      <c r="B180" t="s">
        <v>272</v>
      </c>
    </row>
    <row r="181" spans="2:2" ht="15.95" customHeight="1" x14ac:dyDescent="0.25">
      <c r="B181" t="s">
        <v>273</v>
      </c>
    </row>
    <row r="182" spans="2:2" ht="15.95" customHeight="1" x14ac:dyDescent="0.25"/>
    <row r="183" spans="2:2" ht="15.95" customHeight="1" x14ac:dyDescent="0.25">
      <c r="B183" s="182" t="s">
        <v>274</v>
      </c>
    </row>
    <row r="184" spans="2:2" ht="15.95" customHeight="1" x14ac:dyDescent="0.25">
      <c r="B184" t="s">
        <v>220</v>
      </c>
    </row>
    <row r="185" spans="2:2" ht="15.95" customHeight="1" x14ac:dyDescent="0.25">
      <c r="B185" t="s">
        <v>201</v>
      </c>
    </row>
    <row r="186" spans="2:2" ht="15.95" customHeight="1" x14ac:dyDescent="0.25">
      <c r="B186" t="s">
        <v>202</v>
      </c>
    </row>
    <row r="187" spans="2:2" ht="15.95" customHeight="1" x14ac:dyDescent="0.25">
      <c r="B187" t="s">
        <v>203</v>
      </c>
    </row>
    <row r="188" spans="2:2" ht="15.95" customHeight="1" x14ac:dyDescent="0.25"/>
    <row r="189" spans="2:2" ht="15.95" customHeight="1" x14ac:dyDescent="0.25">
      <c r="B189" s="162" t="s">
        <v>244</v>
      </c>
    </row>
    <row r="190" spans="2:2" ht="15.95" customHeight="1" x14ac:dyDescent="0.25">
      <c r="B190" s="9" t="s">
        <v>243</v>
      </c>
    </row>
    <row r="191" spans="2:2" ht="15.95" customHeight="1" x14ac:dyDescent="0.25"/>
    <row r="192" spans="2:2" ht="15.95" customHeight="1" x14ac:dyDescent="0.25">
      <c r="B192" t="s">
        <v>257</v>
      </c>
    </row>
    <row r="193" spans="2:7" ht="15.95" customHeight="1" x14ac:dyDescent="0.25"/>
    <row r="194" spans="2:7" ht="20.100000000000001" customHeight="1" x14ac:dyDescent="0.25">
      <c r="C194" s="212" t="s">
        <v>19</v>
      </c>
      <c r="D194" s="214" t="s">
        <v>230</v>
      </c>
      <c r="E194" s="215"/>
      <c r="F194" s="214" t="s">
        <v>231</v>
      </c>
      <c r="G194" s="215"/>
    </row>
    <row r="195" spans="2:7" ht="20.100000000000001" customHeight="1" x14ac:dyDescent="0.25">
      <c r="C195" s="213"/>
      <c r="D195" s="49" t="s">
        <v>23</v>
      </c>
      <c r="E195" s="49" t="s">
        <v>232</v>
      </c>
      <c r="F195" s="49" t="s">
        <v>23</v>
      </c>
      <c r="G195" s="49" t="s">
        <v>232</v>
      </c>
    </row>
    <row r="196" spans="2:7" ht="15.95" customHeight="1" x14ac:dyDescent="0.25">
      <c r="C196" s="160">
        <f>$B$78</f>
        <v>2</v>
      </c>
      <c r="D196" s="7">
        <f>$C$77</f>
        <v>622.56484658320153</v>
      </c>
      <c r="E196" s="7">
        <f>$D$77</f>
        <v>6.0388790118570554</v>
      </c>
      <c r="F196" s="7">
        <f>$C$78</f>
        <v>628.60372559505856</v>
      </c>
      <c r="G196" s="7">
        <f>$D$78</f>
        <v>6.0974561382720687</v>
      </c>
    </row>
    <row r="197" spans="2:7" ht="15.95" customHeight="1" x14ac:dyDescent="0.25"/>
    <row r="198" spans="2:7" ht="15.95" customHeight="1" x14ac:dyDescent="0.25">
      <c r="B198" t="s">
        <v>233</v>
      </c>
    </row>
    <row r="199" spans="2:7" ht="15.95" customHeight="1" x14ac:dyDescent="0.25"/>
    <row r="200" spans="2:7" ht="15.95" customHeight="1" x14ac:dyDescent="0.25">
      <c r="C200" s="7">
        <f>$D$78</f>
        <v>6.0974561382720687</v>
      </c>
      <c r="E200" s="7">
        <f>$D$77</f>
        <v>6.0388790118570554</v>
      </c>
      <c r="G200" s="167">
        <f>C200-E200</f>
        <v>5.8577126415013225E-2</v>
      </c>
    </row>
    <row r="201" spans="2:7" ht="15.95" customHeight="1" x14ac:dyDescent="0.25">
      <c r="C201" s="61" t="s">
        <v>234</v>
      </c>
      <c r="E201" s="61" t="s">
        <v>68</v>
      </c>
      <c r="G201" s="146"/>
    </row>
    <row r="202" spans="2:7" ht="15.95" customHeight="1" x14ac:dyDescent="0.25"/>
    <row r="203" spans="2:7" ht="15.95" customHeight="1" x14ac:dyDescent="0.25">
      <c r="B203" t="s">
        <v>235</v>
      </c>
    </row>
    <row r="204" spans="2:7" ht="15.95" customHeight="1" x14ac:dyDescent="0.25"/>
    <row r="205" spans="2:7" ht="15.95" customHeight="1" x14ac:dyDescent="0.25">
      <c r="C205" s="7">
        <f>$C$77</f>
        <v>622.56484658320153</v>
      </c>
      <c r="E205" s="7">
        <f>$D$77</f>
        <v>6.0388790118570554</v>
      </c>
      <c r="G205" s="7">
        <f>$C$78</f>
        <v>628.60372559505856</v>
      </c>
    </row>
    <row r="206" spans="2:7" ht="15.95" customHeight="1" x14ac:dyDescent="0.25">
      <c r="C206" s="61" t="s">
        <v>236</v>
      </c>
      <c r="E206" s="61" t="s">
        <v>237</v>
      </c>
      <c r="G206" s="61" t="s">
        <v>238</v>
      </c>
    </row>
    <row r="207" spans="2:7" ht="15.95" customHeight="1" x14ac:dyDescent="0.25"/>
    <row r="208" spans="2:7" ht="15.95" customHeight="1" x14ac:dyDescent="0.25">
      <c r="B208" t="s">
        <v>239</v>
      </c>
    </row>
    <row r="209" spans="3:8" ht="15.95" customHeight="1" x14ac:dyDescent="0.25"/>
    <row r="210" spans="3:8" ht="20.100000000000001" customHeight="1" x14ac:dyDescent="0.25">
      <c r="C210" s="169" t="s">
        <v>238</v>
      </c>
      <c r="D210" s="170"/>
      <c r="E210" s="171" t="s">
        <v>240</v>
      </c>
      <c r="F210" s="170"/>
      <c r="G210" s="171" t="s">
        <v>234</v>
      </c>
      <c r="H210" s="172"/>
    </row>
    <row r="211" spans="3:8" ht="15.95" customHeight="1" x14ac:dyDescent="0.25">
      <c r="C211" s="71">
        <f>$C$77</f>
        <v>622.56484658320153</v>
      </c>
      <c r="D211" s="173"/>
      <c r="E211" s="161">
        <f>'Os juros sobre juros'!$E$23</f>
        <v>9.7000000000000003E-3</v>
      </c>
      <c r="F211" s="173"/>
      <c r="G211" s="71">
        <f>C211*E211</f>
        <v>6.0388790118570554</v>
      </c>
      <c r="H211" s="174" t="s">
        <v>241</v>
      </c>
    </row>
    <row r="212" spans="3:8" ht="15.95" customHeight="1" x14ac:dyDescent="0.25">
      <c r="C212" s="175"/>
      <c r="D212" s="173"/>
      <c r="E212" s="173"/>
      <c r="F212" s="173"/>
      <c r="G212" s="173"/>
      <c r="H212" s="176"/>
    </row>
    <row r="213" spans="3:8" ht="15.95" customHeight="1" x14ac:dyDescent="0.25">
      <c r="C213" s="71">
        <f>$D$77</f>
        <v>6.0388790118570554</v>
      </c>
      <c r="D213" s="173"/>
      <c r="E213" s="161">
        <f>'Os juros sobre juros'!$E$23</f>
        <v>9.7000000000000003E-3</v>
      </c>
      <c r="F213" s="173"/>
      <c r="G213" s="168">
        <f>C213*E213</f>
        <v>5.857712641501344E-2</v>
      </c>
      <c r="H213" s="174" t="s">
        <v>75</v>
      </c>
    </row>
    <row r="214" spans="3:8" ht="15.95" customHeight="1" x14ac:dyDescent="0.25">
      <c r="C214" s="175"/>
      <c r="D214" s="173"/>
      <c r="E214" s="173"/>
      <c r="F214" s="173"/>
      <c r="G214" s="173"/>
      <c r="H214" s="176"/>
    </row>
    <row r="215" spans="3:8" ht="15.95" customHeight="1" x14ac:dyDescent="0.25">
      <c r="C215" s="127">
        <f>$C$78</f>
        <v>628.60372559505856</v>
      </c>
      <c r="D215" s="177"/>
      <c r="E215" s="161">
        <f>'Os juros sobre juros'!$E$23</f>
        <v>9.7000000000000003E-3</v>
      </c>
      <c r="F215" s="177"/>
      <c r="G215" s="127">
        <f>C215*E215</f>
        <v>6.0974561382720687</v>
      </c>
      <c r="H215" s="178" t="s">
        <v>242</v>
      </c>
    </row>
    <row r="216" spans="3:8" ht="15.95" customHeight="1" x14ac:dyDescent="0.25"/>
    <row r="217" spans="3:8" ht="15.95" customHeight="1" x14ac:dyDescent="0.25"/>
    <row r="218" spans="3:8" ht="15.95" customHeight="1" x14ac:dyDescent="0.25"/>
  </sheetData>
  <sheetProtection password="C6BE" sheet="1" objects="1" scenarios="1" formatColumns="0" insertRows="0" deleteRows="0"/>
  <mergeCells count="29">
    <mergeCell ref="K133:M133"/>
    <mergeCell ref="B114:D114"/>
    <mergeCell ref="F114:H114"/>
    <mergeCell ref="J114:L114"/>
    <mergeCell ref="C11:D11"/>
    <mergeCell ref="C12:D12"/>
    <mergeCell ref="C13:D13"/>
    <mergeCell ref="M20:N20"/>
    <mergeCell ref="M23:N24"/>
    <mergeCell ref="E23:F24"/>
    <mergeCell ref="J20:K20"/>
    <mergeCell ref="E20:F20"/>
    <mergeCell ref="G20:H20"/>
    <mergeCell ref="G23:H24"/>
    <mergeCell ref="J23:K24"/>
    <mergeCell ref="D23:D24"/>
    <mergeCell ref="C194:C195"/>
    <mergeCell ref="D194:E194"/>
    <mergeCell ref="F194:G194"/>
    <mergeCell ref="B92:C92"/>
    <mergeCell ref="B20:B21"/>
    <mergeCell ref="D20:D21"/>
    <mergeCell ref="C20:C21"/>
    <mergeCell ref="C107:D107"/>
    <mergeCell ref="C133:E133"/>
    <mergeCell ref="C105:D105"/>
    <mergeCell ref="B75:D75"/>
    <mergeCell ref="B93:D93"/>
    <mergeCell ref="G133:I133"/>
  </mergeCells>
  <conditionalFormatting sqref="B93">
    <cfRule type="cellIs" dxfId="2" priority="4" operator="greaterThan">
      <formula>" "</formula>
    </cfRule>
  </conditionalFormatting>
  <conditionalFormatting sqref="C70">
    <cfRule type="cellIs" dxfId="1" priority="2" operator="greaterThan">
      <formula>" "</formula>
    </cfRule>
  </conditionalFormatting>
  <conditionalFormatting sqref="C107:D107">
    <cfRule type="cellIs" dxfId="0" priority="1" operator="greaterThan">
      <formula>" "</formula>
    </cfRule>
  </conditionalFormatting>
  <hyperlinks>
    <hyperlink ref="C3" location="Cel_3.1" display="3.1) Análise do valor anual efetivo e do valor anual nominal na prestação 12 do contrato"/>
    <hyperlink ref="C4" location="Cel_3.2" display="3.2) Análise dos valores anuais efetivos e dos valores anuais nominais em qualquer período de 12 meses consecutivos"/>
    <hyperlink ref="C5" location="Cel_3.3" display="3.3) Conclusões"/>
  </hyperlinks>
  <pageMargins left="0.511811024" right="0.511811024" top="0.78740157499999996" bottom="0.78740157499999996" header="0.31496062000000002" footer="0.31496062000000002"/>
  <pageSetup paperSize="9" orientation="portrait" r:id="rId1"/>
  <ignoredErrors>
    <ignoredError sqref="C31" evalError="1"/>
    <ignoredError sqref="D9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13</vt:i4>
      </vt:variant>
    </vt:vector>
  </HeadingPairs>
  <TitlesOfParts>
    <vt:vector size="16" baseType="lpstr">
      <vt:lpstr>Apresentação</vt:lpstr>
      <vt:lpstr>Os juros sobre juros</vt:lpstr>
      <vt:lpstr>O duodécuplo</vt:lpstr>
      <vt:lpstr>Cel_2.1</vt:lpstr>
      <vt:lpstr>Cel_2.2</vt:lpstr>
      <vt:lpstr>Cel_2.3</vt:lpstr>
      <vt:lpstr>Cel_2.4</vt:lpstr>
      <vt:lpstr>Cel_2.5</vt:lpstr>
      <vt:lpstr>Cel_2.6</vt:lpstr>
      <vt:lpstr>Cel_2.7</vt:lpstr>
      <vt:lpstr>Cel_3.1</vt:lpstr>
      <vt:lpstr>Cel_3.2</vt:lpstr>
      <vt:lpstr>Cel_3.3</vt:lpstr>
      <vt:lpstr>Erro_Tab_06</vt:lpstr>
      <vt:lpstr>Tabela_06</vt:lpstr>
      <vt:lpstr>Tabela_09_prestação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2022-10-31T16:42:37Z</dcterms:modified>
</cp:coreProperties>
</file>