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55" yWindow="-165" windowWidth="20055" windowHeight="8310"/>
  </bookViews>
  <sheets>
    <sheet name="Apresentação" sheetId="2" r:id="rId1"/>
    <sheet name="Resumo da análise" sheetId="7" r:id="rId2"/>
    <sheet name="Os juros sobre juros" sheetId="1" r:id="rId3"/>
    <sheet name="O duodécuplo" sheetId="4" r:id="rId4"/>
    <sheet name="Evolução saldo devedor" sheetId="6" r:id="rId5"/>
  </sheets>
  <definedNames>
    <definedName name="Cel_2.1">'Resumo da análise'!$A$30</definedName>
    <definedName name="Cel_2.1.1">'Resumo da análise'!$A$32</definedName>
    <definedName name="Cel_2.1.2">'Resumo da análise'!$A$48</definedName>
    <definedName name="Cel_2.1.3">'Resumo da análise'!$A$61</definedName>
    <definedName name="Cel_2.1.4">'Resumo da análise'!$A$82</definedName>
    <definedName name="Cel_2.1.5">'Resumo da análise'!$A$118</definedName>
    <definedName name="Cel_2.1.6">'Resumo da análise'!$A$158</definedName>
    <definedName name="Cel_2.2">'Resumo da análise'!$A$178</definedName>
    <definedName name="Cel_2.2.1">'Resumo da análise'!$A$180</definedName>
    <definedName name="Cel_2.2.2">'Resumo da análise'!$A$232</definedName>
    <definedName name="Cel_2.3">'Resumo da análise'!$A$257</definedName>
    <definedName name="Cel_2.3.1">'Resumo da análise'!$A$259</definedName>
    <definedName name="Cel_2.3.2">'Resumo da análise'!$A$285</definedName>
    <definedName name="Cel_2.3.3">'Resumo da análise'!$A$358</definedName>
    <definedName name="Cel_2.4">'Resumo da análise'!$A$394</definedName>
    <definedName name="Cel_3.1">'Os juros sobre juros'!$A$21</definedName>
    <definedName name="Cel_3.10">'Os juros sobre juros'!$A$355</definedName>
    <definedName name="Cel_3.11">'Os juros sobre juros'!$A$468</definedName>
    <definedName name="Cel_3.12">'Os juros sobre juros'!$A$507</definedName>
    <definedName name="Cel_3.2">'Os juros sobre juros'!$A$28</definedName>
    <definedName name="Cel_3.3">'Os juros sobre juros'!$A$39</definedName>
    <definedName name="Cel_3.3.1">'Os juros sobre juros'!$A$41</definedName>
    <definedName name="Cel_3.3.2">'Os juros sobre juros'!$A$51</definedName>
    <definedName name="Cel_3.4">'Os juros sobre juros'!$A$67</definedName>
    <definedName name="Cel_3.5">'Os juros sobre juros'!$A$82</definedName>
    <definedName name="Cel_3.6">'Os juros sobre juros'!$A$95</definedName>
    <definedName name="Cel_3.7">'Os juros sobre juros'!$A$159</definedName>
    <definedName name="Cel_3.8">'Os juros sobre juros'!$A$198</definedName>
    <definedName name="Cel_3.9">'Os juros sobre juros'!$A$298</definedName>
    <definedName name="Cel_4.1">'O duodécuplo'!$A$14</definedName>
    <definedName name="Cel_4.2">'O duodécuplo'!$A$88</definedName>
    <definedName name="Cel_4.3">'O duodécuplo'!$A$141</definedName>
    <definedName name="Cel_4.3.1">'O duodécuplo'!$A$151</definedName>
    <definedName name="Cel_4.3.2">'O duodécuplo'!$A$178</definedName>
    <definedName name="Cel_4.3.3">'O duodécuplo'!$A$229</definedName>
    <definedName name="Cel_4.3.4">'O duodécuplo'!$A$264</definedName>
    <definedName name="Cel_4.3.5">'O duodécuplo'!$A$299</definedName>
    <definedName name="Cel_4.4">'O duodécuplo'!$A$334</definedName>
    <definedName name="Cel_4.5">'O duodécuplo'!$A$449</definedName>
    <definedName name="Cel_5.1">'Evolução saldo devedor'!$A$16</definedName>
    <definedName name="Cel_5.2">'Evolução saldo devedor'!$A$42</definedName>
    <definedName name="Cel_5.3">'Evolução saldo devedor'!$A$155</definedName>
    <definedName name="Cel_5.4">'Evolução saldo devedor'!$A$251</definedName>
    <definedName name="Cel_5.5">'Evolução saldo devedor'!$A$287</definedName>
    <definedName name="Cel_5.5.1">'Evolução saldo devedor'!$A$289</definedName>
    <definedName name="Cel_5.5.2">'Evolução saldo devedor'!$A$309</definedName>
    <definedName name="Cel_5.5.3">'Evolução saldo devedor'!$A$373</definedName>
    <definedName name="Cel_5.6">'Evolução saldo devedor'!$A$454</definedName>
    <definedName name="Cel_5.6.1">'Evolução saldo devedor'!$A$456</definedName>
    <definedName name="Cel_5.6.2">'Evolução saldo devedor'!$A$495</definedName>
    <definedName name="Cel_5.7">'Evolução saldo devedor'!$A$575</definedName>
    <definedName name="Erro_Tab_06">'Os juros sobre juros'!$C$149</definedName>
    <definedName name="Erro_Tab_07">'Os juros sobre juros'!$C$251</definedName>
    <definedName name="Erro_Tab_09">'Os juros sobre juros'!$C$406</definedName>
    <definedName name="Erro_Tab_16">'Evolução saldo devedor'!$C$115</definedName>
    <definedName name="Erro_Tab_17">'Evolução saldo devedor'!$C$242</definedName>
    <definedName name="Erro_Tab_19">'Evolução saldo devedor'!$C$435</definedName>
    <definedName name="Erro_Tab_20">'Evolução saldo devedor'!$C$555</definedName>
    <definedName name="Tabela_06">'Os juros sobre juros'!$B$111:$J$147</definedName>
    <definedName name="Tabela_07_prestação">'O duodécuplo'!$B$362:$D$398</definedName>
  </definedNames>
  <calcPr calcId="145621"/>
</workbook>
</file>

<file path=xl/calcChain.xml><?xml version="1.0" encoding="utf-8"?>
<calcChain xmlns="http://schemas.openxmlformats.org/spreadsheetml/2006/main">
  <c r="D175" i="6" l="1"/>
  <c r="E171" i="6"/>
  <c r="E180" i="6" l="1"/>
  <c r="B368" i="6"/>
  <c r="F235" i="6" l="1"/>
  <c r="F231" i="6"/>
  <c r="F227" i="6"/>
  <c r="F223" i="6"/>
  <c r="F219" i="6"/>
  <c r="F215" i="6"/>
  <c r="F211" i="6"/>
  <c r="F207" i="6"/>
  <c r="F203" i="6"/>
  <c r="F234" i="6"/>
  <c r="F226" i="6"/>
  <c r="F218" i="6"/>
  <c r="F210" i="6"/>
  <c r="F202" i="6"/>
  <c r="F228" i="6"/>
  <c r="F216" i="6"/>
  <c r="F204" i="6"/>
  <c r="F230" i="6"/>
  <c r="F222" i="6"/>
  <c r="F214" i="6"/>
  <c r="F206" i="6"/>
  <c r="F224" i="6"/>
  <c r="F212" i="6"/>
  <c r="F200" i="6"/>
  <c r="F233" i="6"/>
  <c r="F229" i="6"/>
  <c r="F225" i="6"/>
  <c r="F221" i="6"/>
  <c r="F217" i="6"/>
  <c r="F213" i="6"/>
  <c r="F209" i="6"/>
  <c r="F205" i="6"/>
  <c r="F201" i="6"/>
  <c r="F232" i="6"/>
  <c r="F220" i="6"/>
  <c r="F208" i="6"/>
  <c r="B603" i="6"/>
  <c r="B627" i="6"/>
  <c r="B448" i="7" l="1"/>
  <c r="B434" i="7"/>
  <c r="E506" i="4" l="1"/>
  <c r="E504" i="4"/>
  <c r="E502" i="4"/>
  <c r="G504" i="4"/>
  <c r="E60" i="6" l="1"/>
  <c r="B420" i="4" l="1"/>
  <c r="B471" i="6" l="1"/>
  <c r="P469" i="6"/>
  <c r="H468" i="6"/>
  <c r="H467" i="6"/>
  <c r="H466" i="6"/>
  <c r="B466" i="6"/>
  <c r="H470" i="6"/>
  <c r="I133" i="7" l="1"/>
  <c r="G133" i="7"/>
  <c r="V134" i="7"/>
  <c r="G131" i="7" l="1"/>
  <c r="G130" i="7"/>
  <c r="G129" i="7"/>
  <c r="G135" i="7"/>
  <c r="B80" i="7" l="1"/>
  <c r="V132" i="7" l="1"/>
  <c r="I131" i="7"/>
  <c r="I130" i="7"/>
  <c r="I129" i="7"/>
  <c r="B136" i="7"/>
  <c r="B129" i="7"/>
  <c r="B102" i="7"/>
  <c r="B97" i="7"/>
  <c r="B75" i="7"/>
  <c r="I135" i="7"/>
  <c r="N100" i="7" l="1"/>
  <c r="E494" i="1" l="1"/>
  <c r="B487" i="1"/>
  <c r="B480" i="1"/>
  <c r="B162" i="4" l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L464" i="1"/>
  <c r="E304" i="7" l="1"/>
  <c r="D163" i="7"/>
  <c r="C413" i="4" l="1"/>
  <c r="C354" i="4" l="1"/>
  <c r="J308" i="4" l="1"/>
  <c r="J309" i="4" s="1"/>
  <c r="J310" i="4" s="1"/>
  <c r="J311" i="4" s="1"/>
  <c r="J312" i="4" s="1"/>
  <c r="J313" i="4" s="1"/>
  <c r="J314" i="4" s="1"/>
  <c r="J315" i="4" s="1"/>
  <c r="J316" i="4" s="1"/>
  <c r="J317" i="4" s="1"/>
  <c r="J318" i="4" s="1"/>
  <c r="F308" i="4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B308" i="4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J273" i="4"/>
  <c r="J274" i="4" s="1"/>
  <c r="J275" i="4" s="1"/>
  <c r="J276" i="4" s="1"/>
  <c r="J277" i="4" s="1"/>
  <c r="J278" i="4" s="1"/>
  <c r="J279" i="4" s="1"/>
  <c r="J280" i="4" s="1"/>
  <c r="J281" i="4" s="1"/>
  <c r="J282" i="4" s="1"/>
  <c r="J283" i="4" s="1"/>
  <c r="F273" i="4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B273" i="4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J238" i="4" l="1"/>
  <c r="J239" i="4" s="1"/>
  <c r="J240" i="4" s="1"/>
  <c r="J241" i="4" s="1"/>
  <c r="J242" i="4" s="1"/>
  <c r="J243" i="4" s="1"/>
  <c r="J244" i="4" s="1"/>
  <c r="J245" i="4" s="1"/>
  <c r="J246" i="4" s="1"/>
  <c r="J247" i="4" s="1"/>
  <c r="J248" i="4" s="1"/>
  <c r="F238" i="4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B238" i="4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H440" i="4" l="1"/>
  <c r="G440" i="4"/>
  <c r="L440" i="4"/>
  <c r="B437" i="4"/>
  <c r="J422" i="4"/>
  <c r="J423" i="4" s="1"/>
  <c r="J424" i="4" s="1"/>
  <c r="J425" i="4" s="1"/>
  <c r="J426" i="4" s="1"/>
  <c r="J427" i="4" s="1"/>
  <c r="J428" i="4" s="1"/>
  <c r="J429" i="4" s="1"/>
  <c r="J430" i="4" s="1"/>
  <c r="J431" i="4" s="1"/>
  <c r="J432" i="4" s="1"/>
  <c r="J433" i="4" s="1"/>
  <c r="F422" i="4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B422" i="4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J420" i="4"/>
  <c r="F420" i="4"/>
  <c r="I403" i="1"/>
  <c r="H471" i="6" l="1"/>
  <c r="G481" i="6" s="1"/>
  <c r="I136" i="7"/>
  <c r="G444" i="4"/>
  <c r="C444" i="4"/>
  <c r="G443" i="4"/>
  <c r="C443" i="4"/>
  <c r="D440" i="4"/>
  <c r="K440" i="4"/>
  <c r="C440" i="4"/>
  <c r="B407" i="4" l="1"/>
  <c r="B360" i="4" l="1"/>
  <c r="D392" i="7" l="1"/>
  <c r="C392" i="7"/>
  <c r="B392" i="7"/>
  <c r="D384" i="7"/>
  <c r="C384" i="7"/>
  <c r="B384" i="7"/>
  <c r="B359" i="6" l="1"/>
  <c r="B327" i="6" l="1"/>
  <c r="B323" i="6" l="1"/>
  <c r="B324" i="6" l="1"/>
  <c r="B363" i="6" s="1"/>
  <c r="B361" i="6"/>
  <c r="D512" i="1" l="1"/>
  <c r="B393" i="6" l="1"/>
  <c r="C392" i="6"/>
  <c r="B435" i="7" l="1"/>
  <c r="B604" i="6"/>
  <c r="C434" i="7"/>
  <c r="C603" i="6"/>
  <c r="B394" i="6"/>
  <c r="B316" i="7"/>
  <c r="D56" i="7"/>
  <c r="E40" i="7"/>
  <c r="E39" i="7"/>
  <c r="E38" i="7"/>
  <c r="E37" i="7"/>
  <c r="E36" i="7"/>
  <c r="E35" i="7"/>
  <c r="B436" i="7" l="1"/>
  <c r="B605" i="6"/>
  <c r="B395" i="6"/>
  <c r="B396" i="6" s="1"/>
  <c r="B397" i="6" s="1"/>
  <c r="B398" i="6" s="1"/>
  <c r="B399" i="6" s="1"/>
  <c r="F60" i="4"/>
  <c r="G60" i="4" s="1"/>
  <c r="H60" i="4" s="1"/>
  <c r="F44" i="4"/>
  <c r="C44" i="4"/>
  <c r="D44" i="4" s="1"/>
  <c r="B400" i="6" l="1"/>
  <c r="G44" i="4"/>
  <c r="H44" i="4" s="1"/>
  <c r="D45" i="4"/>
  <c r="C29" i="4"/>
  <c r="D29" i="4" s="1"/>
  <c r="D30" i="4" s="1"/>
  <c r="B401" i="6" l="1"/>
  <c r="E29" i="4"/>
  <c r="F29" i="4" s="1"/>
  <c r="G29" i="4" s="1"/>
  <c r="H29" i="4" s="1"/>
  <c r="F340" i="1"/>
  <c r="G340" i="1" s="1"/>
  <c r="C327" i="1"/>
  <c r="D327" i="1" s="1"/>
  <c r="B402" i="6" l="1"/>
  <c r="C314" i="1"/>
  <c r="B403" i="6" l="1"/>
  <c r="F327" i="1"/>
  <c r="G327" i="1" s="1"/>
  <c r="D314" i="1"/>
  <c r="E45" i="1"/>
  <c r="D55" i="1"/>
  <c r="D54" i="1"/>
  <c r="D59" i="1"/>
  <c r="B404" i="6" l="1"/>
  <c r="E314" i="1"/>
  <c r="F314" i="1" s="1"/>
  <c r="G314" i="1" s="1"/>
  <c r="B405" i="6" l="1"/>
  <c r="B368" i="1"/>
  <c r="J440" i="1"/>
  <c r="J450" i="1"/>
  <c r="J455" i="1"/>
  <c r="J459" i="1"/>
  <c r="E46" i="1"/>
  <c r="C60" i="6" l="1"/>
  <c r="C171" i="6"/>
  <c r="B130" i="7"/>
  <c r="B467" i="6"/>
  <c r="B163" i="7"/>
  <c r="C304" i="7"/>
  <c r="C512" i="1"/>
  <c r="E512" i="1" s="1"/>
  <c r="B512" i="1"/>
  <c r="D424" i="6"/>
  <c r="D416" i="6"/>
  <c r="D408" i="6"/>
  <c r="D400" i="6"/>
  <c r="D405" i="6"/>
  <c r="H405" i="6" s="1"/>
  <c r="E405" i="6" s="1"/>
  <c r="D412" i="6"/>
  <c r="D411" i="6"/>
  <c r="D418" i="6"/>
  <c r="D410" i="6"/>
  <c r="D394" i="6"/>
  <c r="D409" i="6"/>
  <c r="D393" i="6"/>
  <c r="D423" i="6"/>
  <c r="D415" i="6"/>
  <c r="D407" i="6"/>
  <c r="D399" i="6"/>
  <c r="D392" i="6"/>
  <c r="D414" i="6"/>
  <c r="D398" i="6"/>
  <c r="D413" i="6"/>
  <c r="D404" i="6"/>
  <c r="D427" i="6"/>
  <c r="D403" i="6"/>
  <c r="D422" i="6"/>
  <c r="D406" i="6"/>
  <c r="D421" i="6"/>
  <c r="D397" i="6"/>
  <c r="D420" i="6"/>
  <c r="D396" i="6"/>
  <c r="D419" i="6"/>
  <c r="D395" i="6"/>
  <c r="D426" i="6"/>
  <c r="D402" i="6"/>
  <c r="D425" i="6"/>
  <c r="D417" i="6"/>
  <c r="D401" i="6"/>
  <c r="B406" i="6"/>
  <c r="D47" i="1"/>
  <c r="D43" i="7"/>
  <c r="B56" i="7"/>
  <c r="B369" i="1"/>
  <c r="D513" i="6"/>
  <c r="C396" i="1"/>
  <c r="C388" i="1"/>
  <c r="C380" i="1"/>
  <c r="C372" i="1"/>
  <c r="C394" i="1"/>
  <c r="C385" i="1"/>
  <c r="C376" i="1"/>
  <c r="C367" i="1"/>
  <c r="C401" i="1"/>
  <c r="C392" i="1"/>
  <c r="C374" i="1"/>
  <c r="C389" i="1"/>
  <c r="C402" i="1"/>
  <c r="C393" i="1"/>
  <c r="C384" i="1"/>
  <c r="C375" i="1"/>
  <c r="C383" i="1"/>
  <c r="C398" i="1"/>
  <c r="C370" i="1"/>
  <c r="C397" i="1"/>
  <c r="C378" i="1"/>
  <c r="C133" i="7" s="1"/>
  <c r="C400" i="1"/>
  <c r="C391" i="1"/>
  <c r="C382" i="1"/>
  <c r="C373" i="1"/>
  <c r="C399" i="1"/>
  <c r="C390" i="1"/>
  <c r="C381" i="1"/>
  <c r="C371" i="1"/>
  <c r="C379" i="1"/>
  <c r="C387" i="1"/>
  <c r="C395" i="1"/>
  <c r="C386" i="1"/>
  <c r="C377" i="1"/>
  <c r="C369" i="1"/>
  <c r="C368" i="1"/>
  <c r="C403" i="1"/>
  <c r="D428" i="6"/>
  <c r="C135" i="7"/>
  <c r="D607" i="6"/>
  <c r="C470" i="6"/>
  <c r="D438" i="7"/>
  <c r="D608" i="6" l="1"/>
  <c r="D434" i="7"/>
  <c r="D603" i="6"/>
  <c r="D435" i="7"/>
  <c r="D604" i="6"/>
  <c r="D436" i="7"/>
  <c r="D605" i="6"/>
  <c r="D449" i="7"/>
  <c r="D628" i="6"/>
  <c r="D439" i="7"/>
  <c r="B131" i="7"/>
  <c r="B468" i="6"/>
  <c r="C129" i="7"/>
  <c r="C466" i="6"/>
  <c r="C130" i="7"/>
  <c r="C467" i="6"/>
  <c r="C131" i="7"/>
  <c r="C468" i="6"/>
  <c r="C471" i="6"/>
  <c r="C198" i="7"/>
  <c r="C107" i="4"/>
  <c r="C136" i="7"/>
  <c r="H406" i="6"/>
  <c r="E406" i="6" s="1"/>
  <c r="G405" i="6"/>
  <c r="F405" i="6" s="1"/>
  <c r="H395" i="6"/>
  <c r="E395" i="6" s="1"/>
  <c r="H403" i="6"/>
  <c r="E403" i="6" s="1"/>
  <c r="H399" i="6"/>
  <c r="E399" i="6" s="1"/>
  <c r="H396" i="6"/>
  <c r="E396" i="6" s="1"/>
  <c r="H397" i="6"/>
  <c r="E397" i="6" s="1"/>
  <c r="H398" i="6"/>
  <c r="E398" i="6" s="1"/>
  <c r="H404" i="6"/>
  <c r="E404" i="6" s="1"/>
  <c r="H401" i="6"/>
  <c r="E401" i="6" s="1"/>
  <c r="H393" i="6"/>
  <c r="H400" i="6"/>
  <c r="E400" i="6" s="1"/>
  <c r="H394" i="6"/>
  <c r="H402" i="6"/>
  <c r="E402" i="6" s="1"/>
  <c r="H392" i="6"/>
  <c r="B407" i="6"/>
  <c r="H407" i="6" s="1"/>
  <c r="B370" i="1"/>
  <c r="B371" i="1" s="1"/>
  <c r="B372" i="1" s="1"/>
  <c r="B373" i="1" s="1"/>
  <c r="B374" i="1" s="1"/>
  <c r="B375" i="1" s="1"/>
  <c r="B376" i="1" s="1"/>
  <c r="B377" i="1" s="1"/>
  <c r="B378" i="1" s="1"/>
  <c r="B133" i="7" s="1"/>
  <c r="D368" i="1"/>
  <c r="D369" i="1"/>
  <c r="D367" i="1"/>
  <c r="H434" i="7" l="1"/>
  <c r="H603" i="6"/>
  <c r="H436" i="7"/>
  <c r="H605" i="6"/>
  <c r="H435" i="7"/>
  <c r="H604" i="6"/>
  <c r="D129" i="7"/>
  <c r="D466" i="6"/>
  <c r="D131" i="7"/>
  <c r="D468" i="6"/>
  <c r="D130" i="7"/>
  <c r="D467" i="6"/>
  <c r="H367" i="1"/>
  <c r="G392" i="6"/>
  <c r="D433" i="6"/>
  <c r="E394" i="6"/>
  <c r="E393" i="6"/>
  <c r="G406" i="6"/>
  <c r="F406" i="6" s="1"/>
  <c r="G403" i="6"/>
  <c r="F403" i="6" s="1"/>
  <c r="G398" i="6"/>
  <c r="F398" i="6" s="1"/>
  <c r="G399" i="6"/>
  <c r="F399" i="6" s="1"/>
  <c r="G394" i="6"/>
  <c r="G402" i="6"/>
  <c r="F402" i="6" s="1"/>
  <c r="G404" i="6"/>
  <c r="F404" i="6" s="1"/>
  <c r="G400" i="6"/>
  <c r="F400" i="6" s="1"/>
  <c r="G396" i="6"/>
  <c r="F396" i="6" s="1"/>
  <c r="G401" i="6"/>
  <c r="F401" i="6" s="1"/>
  <c r="G393" i="6"/>
  <c r="G397" i="6"/>
  <c r="F397" i="6" s="1"/>
  <c r="G395" i="6"/>
  <c r="F395" i="6" s="1"/>
  <c r="E392" i="6"/>
  <c r="I392" i="6"/>
  <c r="E407" i="6"/>
  <c r="G407" i="6"/>
  <c r="B408" i="6"/>
  <c r="H408" i="6" s="1"/>
  <c r="D378" i="1"/>
  <c r="B198" i="7"/>
  <c r="D371" i="1"/>
  <c r="L371" i="1" s="1"/>
  <c r="D375" i="1"/>
  <c r="X375" i="1" s="1"/>
  <c r="D372" i="1"/>
  <c r="AB372" i="1" s="1"/>
  <c r="D377" i="1"/>
  <c r="X377" i="1" s="1"/>
  <c r="D370" i="1"/>
  <c r="D373" i="1"/>
  <c r="H373" i="1" s="1"/>
  <c r="L368" i="1"/>
  <c r="J467" i="6" s="1"/>
  <c r="H368" i="1"/>
  <c r="G467" i="6" s="1"/>
  <c r="D376" i="1"/>
  <c r="B379" i="1"/>
  <c r="D374" i="1"/>
  <c r="H369" i="1"/>
  <c r="P369" i="1"/>
  <c r="P131" i="7" s="1"/>
  <c r="L369" i="1"/>
  <c r="D285" i="6"/>
  <c r="D278" i="6"/>
  <c r="C285" i="6"/>
  <c r="C278" i="6"/>
  <c r="B285" i="6"/>
  <c r="B278" i="6"/>
  <c r="E434" i="7" l="1"/>
  <c r="E603" i="6"/>
  <c r="G434" i="7"/>
  <c r="G603" i="6"/>
  <c r="G435" i="7"/>
  <c r="G604" i="6"/>
  <c r="I434" i="7"/>
  <c r="I603" i="6"/>
  <c r="E436" i="7"/>
  <c r="E605" i="6"/>
  <c r="G436" i="7"/>
  <c r="G605" i="6"/>
  <c r="E435" i="7"/>
  <c r="E604" i="6"/>
  <c r="H129" i="7"/>
  <c r="G466" i="6"/>
  <c r="L131" i="7"/>
  <c r="J468" i="6"/>
  <c r="H131" i="7"/>
  <c r="G468" i="6"/>
  <c r="D198" i="7"/>
  <c r="J215" i="7" s="1"/>
  <c r="D133" i="7"/>
  <c r="L463" i="1"/>
  <c r="H130" i="7"/>
  <c r="N463" i="1"/>
  <c r="L130" i="7"/>
  <c r="H370" i="1"/>
  <c r="C393" i="6"/>
  <c r="F392" i="6"/>
  <c r="F394" i="6"/>
  <c r="F393" i="6"/>
  <c r="H378" i="1"/>
  <c r="H133" i="7" s="1"/>
  <c r="AF378" i="1"/>
  <c r="F407" i="6"/>
  <c r="E408" i="6"/>
  <c r="G408" i="6"/>
  <c r="B409" i="6"/>
  <c r="H409" i="6" s="1"/>
  <c r="AB378" i="1"/>
  <c r="AR378" i="1"/>
  <c r="T378" i="1"/>
  <c r="AJ378" i="1"/>
  <c r="P378" i="1"/>
  <c r="P133" i="7" s="1"/>
  <c r="L378" i="1"/>
  <c r="L133" i="7" s="1"/>
  <c r="AV378" i="1"/>
  <c r="AZ378" i="1"/>
  <c r="X378" i="1"/>
  <c r="AN378" i="1"/>
  <c r="T371" i="1"/>
  <c r="T375" i="1"/>
  <c r="H375" i="1"/>
  <c r="AF375" i="1"/>
  <c r="X371" i="1"/>
  <c r="AJ375" i="1"/>
  <c r="P375" i="1"/>
  <c r="P371" i="1"/>
  <c r="P377" i="1"/>
  <c r="AB375" i="1"/>
  <c r="H371" i="1"/>
  <c r="AB377" i="1"/>
  <c r="AF377" i="1"/>
  <c r="AN375" i="1"/>
  <c r="AN377" i="1"/>
  <c r="H377" i="1"/>
  <c r="T370" i="1"/>
  <c r="L375" i="1"/>
  <c r="AV377" i="1"/>
  <c r="P370" i="1"/>
  <c r="X372" i="1"/>
  <c r="H372" i="1"/>
  <c r="L377" i="1"/>
  <c r="P372" i="1"/>
  <c r="T377" i="1"/>
  <c r="L372" i="1"/>
  <c r="AR377" i="1"/>
  <c r="AF373" i="1"/>
  <c r="L370" i="1"/>
  <c r="P373" i="1"/>
  <c r="T372" i="1"/>
  <c r="AJ377" i="1"/>
  <c r="X373" i="1"/>
  <c r="L373" i="1"/>
  <c r="T373" i="1"/>
  <c r="AB373" i="1"/>
  <c r="B380" i="1"/>
  <c r="D379" i="1"/>
  <c r="AJ376" i="1"/>
  <c r="T376" i="1"/>
  <c r="L376" i="1"/>
  <c r="AB376" i="1"/>
  <c r="H376" i="1"/>
  <c r="AN376" i="1"/>
  <c r="P376" i="1"/>
  <c r="AF376" i="1"/>
  <c r="X376" i="1"/>
  <c r="AR376" i="1"/>
  <c r="L374" i="1"/>
  <c r="AJ374" i="1"/>
  <c r="AF374" i="1"/>
  <c r="X374" i="1"/>
  <c r="H374" i="1"/>
  <c r="AB374" i="1"/>
  <c r="P374" i="1"/>
  <c r="T374" i="1"/>
  <c r="C435" i="7" l="1"/>
  <c r="C604" i="6"/>
  <c r="F436" i="7"/>
  <c r="F605" i="6"/>
  <c r="F434" i="7"/>
  <c r="F603" i="6"/>
  <c r="F435" i="7"/>
  <c r="F604" i="6"/>
  <c r="C204" i="7"/>
  <c r="J212" i="7"/>
  <c r="J218" i="7"/>
  <c r="I393" i="6"/>
  <c r="F408" i="6"/>
  <c r="E409" i="6"/>
  <c r="G409" i="6"/>
  <c r="B410" i="6"/>
  <c r="H410" i="6" s="1"/>
  <c r="AZ379" i="1"/>
  <c r="AJ379" i="1"/>
  <c r="AB379" i="1"/>
  <c r="P379" i="1"/>
  <c r="X379" i="1"/>
  <c r="BD379" i="1"/>
  <c r="AN379" i="1"/>
  <c r="T379" i="1"/>
  <c r="H379" i="1"/>
  <c r="L379" i="1"/>
  <c r="AV379" i="1"/>
  <c r="AR379" i="1"/>
  <c r="AF379" i="1"/>
  <c r="B381" i="1"/>
  <c r="D380" i="1"/>
  <c r="I435" i="7" l="1"/>
  <c r="I604" i="6"/>
  <c r="C394" i="6"/>
  <c r="F409" i="6"/>
  <c r="E410" i="6"/>
  <c r="G410" i="6"/>
  <c r="B411" i="6"/>
  <c r="H411" i="6" s="1"/>
  <c r="H380" i="1"/>
  <c r="BH380" i="1"/>
  <c r="AN380" i="1"/>
  <c r="AR380" i="1"/>
  <c r="L380" i="1"/>
  <c r="AZ380" i="1"/>
  <c r="AJ380" i="1"/>
  <c r="AF380" i="1"/>
  <c r="P380" i="1"/>
  <c r="T380" i="1"/>
  <c r="X380" i="1"/>
  <c r="AV380" i="1"/>
  <c r="BD380" i="1"/>
  <c r="AB380" i="1"/>
  <c r="B382" i="1"/>
  <c r="D381" i="1"/>
  <c r="J187" i="4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F187" i="4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B187" i="4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363" i="4"/>
  <c r="F236" i="6"/>
  <c r="C436" i="7" l="1"/>
  <c r="C605" i="6"/>
  <c r="B364" i="4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I394" i="6"/>
  <c r="F410" i="6"/>
  <c r="E411" i="6"/>
  <c r="G411" i="6"/>
  <c r="B412" i="6"/>
  <c r="H412" i="6" s="1"/>
  <c r="B383" i="1"/>
  <c r="D382" i="1"/>
  <c r="BL381" i="1"/>
  <c r="AR381" i="1"/>
  <c r="H381" i="1"/>
  <c r="BH381" i="1"/>
  <c r="P381" i="1"/>
  <c r="AN381" i="1"/>
  <c r="BD381" i="1"/>
  <c r="AB381" i="1"/>
  <c r="AF381" i="1"/>
  <c r="AZ381" i="1"/>
  <c r="X381" i="1"/>
  <c r="T381" i="1"/>
  <c r="AV381" i="1"/>
  <c r="AJ381" i="1"/>
  <c r="L381" i="1"/>
  <c r="I436" i="7" l="1"/>
  <c r="I605" i="6"/>
  <c r="C395" i="6"/>
  <c r="I395" i="6" s="1"/>
  <c r="C396" i="6" s="1"/>
  <c r="I396" i="6" s="1"/>
  <c r="C397" i="6" s="1"/>
  <c r="I397" i="6" s="1"/>
  <c r="C398" i="6" s="1"/>
  <c r="F411" i="6"/>
  <c r="E412" i="6"/>
  <c r="G412" i="6"/>
  <c r="B413" i="6"/>
  <c r="H413" i="6" s="1"/>
  <c r="BP382" i="1"/>
  <c r="BH382" i="1"/>
  <c r="AN382" i="1"/>
  <c r="X382" i="1"/>
  <c r="AJ382" i="1"/>
  <c r="T382" i="1"/>
  <c r="BL382" i="1"/>
  <c r="AF382" i="1"/>
  <c r="H382" i="1"/>
  <c r="AB382" i="1"/>
  <c r="P382" i="1"/>
  <c r="L382" i="1"/>
  <c r="AV382" i="1"/>
  <c r="BD382" i="1"/>
  <c r="AR382" i="1"/>
  <c r="AZ382" i="1"/>
  <c r="B384" i="1"/>
  <c r="D383" i="1"/>
  <c r="F99" i="4"/>
  <c r="F190" i="7" s="1"/>
  <c r="F98" i="4"/>
  <c r="F189" i="7" s="1"/>
  <c r="F97" i="4"/>
  <c r="F188" i="7" l="1"/>
  <c r="E413" i="6"/>
  <c r="G413" i="6"/>
  <c r="F412" i="6"/>
  <c r="B414" i="6"/>
  <c r="H414" i="6" s="1"/>
  <c r="AJ383" i="1"/>
  <c r="P383" i="1"/>
  <c r="X383" i="1"/>
  <c r="BH383" i="1"/>
  <c r="T383" i="1"/>
  <c r="L383" i="1"/>
  <c r="AR383" i="1"/>
  <c r="BT383" i="1"/>
  <c r="AZ383" i="1"/>
  <c r="AN383" i="1"/>
  <c r="BD383" i="1"/>
  <c r="H383" i="1"/>
  <c r="BP383" i="1"/>
  <c r="BL383" i="1"/>
  <c r="AV383" i="1"/>
  <c r="AF383" i="1"/>
  <c r="AB383" i="1"/>
  <c r="B385" i="1"/>
  <c r="D384" i="1"/>
  <c r="E372" i="1"/>
  <c r="D520" i="1"/>
  <c r="D417" i="7" s="1"/>
  <c r="D90" i="1"/>
  <c r="I291" i="1"/>
  <c r="I287" i="1"/>
  <c r="I279" i="1"/>
  <c r="D171" i="7" l="1"/>
  <c r="G443" i="6"/>
  <c r="D414" i="1"/>
  <c r="H388" i="6"/>
  <c r="E414" i="6"/>
  <c r="G414" i="6"/>
  <c r="F413" i="6"/>
  <c r="B415" i="6"/>
  <c r="H415" i="6" s="1"/>
  <c r="I398" i="6"/>
  <c r="C399" i="6" s="1"/>
  <c r="AB384" i="1"/>
  <c r="X384" i="1"/>
  <c r="P384" i="1"/>
  <c r="T384" i="1"/>
  <c r="BX384" i="1"/>
  <c r="AZ384" i="1"/>
  <c r="BL384" i="1"/>
  <c r="H384" i="1"/>
  <c r="BP384" i="1"/>
  <c r="AF384" i="1"/>
  <c r="BT384" i="1"/>
  <c r="AJ384" i="1"/>
  <c r="AR384" i="1"/>
  <c r="L384" i="1"/>
  <c r="BD384" i="1"/>
  <c r="AV384" i="1"/>
  <c r="AN384" i="1"/>
  <c r="BH384" i="1"/>
  <c r="B386" i="1"/>
  <c r="D385" i="1"/>
  <c r="G563" i="6"/>
  <c r="EU384" i="1"/>
  <c r="J369" i="1"/>
  <c r="J378" i="1"/>
  <c r="J133" i="7" s="1"/>
  <c r="J383" i="1"/>
  <c r="J377" i="1"/>
  <c r="EU370" i="1"/>
  <c r="EU383" i="1"/>
  <c r="EU377" i="1"/>
  <c r="EU378" i="1"/>
  <c r="T133" i="7" s="1"/>
  <c r="J372" i="1"/>
  <c r="E439" i="1"/>
  <c r="L440" i="1"/>
  <c r="E367" i="1"/>
  <c r="EU367" i="1"/>
  <c r="E379" i="1"/>
  <c r="EU379" i="1"/>
  <c r="L455" i="1"/>
  <c r="L450" i="1"/>
  <c r="E454" i="1"/>
  <c r="E449" i="1"/>
  <c r="E368" i="1"/>
  <c r="EU368" i="1"/>
  <c r="K382" i="1"/>
  <c r="M382" i="1" s="1"/>
  <c r="J382" i="1"/>
  <c r="E381" i="1"/>
  <c r="EU381" i="1"/>
  <c r="K383" i="1"/>
  <c r="M383" i="1" s="1"/>
  <c r="E374" i="1"/>
  <c r="EU374" i="1"/>
  <c r="E371" i="1"/>
  <c r="E373" i="1"/>
  <c r="EU373" i="1"/>
  <c r="E384" i="1"/>
  <c r="E376" i="1"/>
  <c r="E375" i="1"/>
  <c r="EW372" i="1"/>
  <c r="F372" i="1"/>
  <c r="EU371" i="1"/>
  <c r="E377" i="1"/>
  <c r="E382" i="1"/>
  <c r="EU382" i="1"/>
  <c r="E378" i="1"/>
  <c r="E369" i="1"/>
  <c r="EU369" i="1"/>
  <c r="EU376" i="1"/>
  <c r="EU372" i="1"/>
  <c r="E370" i="1"/>
  <c r="E380" i="1"/>
  <c r="EU380" i="1"/>
  <c r="E383" i="1"/>
  <c r="EU375" i="1"/>
  <c r="E249" i="6"/>
  <c r="E122" i="6"/>
  <c r="D259" i="1"/>
  <c r="D157" i="1"/>
  <c r="B214" i="1"/>
  <c r="B98" i="7" l="1"/>
  <c r="C486" i="4"/>
  <c r="J131" i="7"/>
  <c r="I468" i="6"/>
  <c r="E129" i="7"/>
  <c r="E466" i="6"/>
  <c r="E130" i="7"/>
  <c r="E467" i="6"/>
  <c r="E131" i="7"/>
  <c r="E468" i="6"/>
  <c r="T129" i="7"/>
  <c r="N466" i="6"/>
  <c r="T131" i="7"/>
  <c r="N468" i="6"/>
  <c r="T130" i="7"/>
  <c r="N467" i="6"/>
  <c r="G198" i="7"/>
  <c r="H226" i="7" s="1"/>
  <c r="E133" i="7"/>
  <c r="J198" i="7"/>
  <c r="J107" i="4"/>
  <c r="EU385" i="1"/>
  <c r="J384" i="1"/>
  <c r="E415" i="6"/>
  <c r="G415" i="6"/>
  <c r="F414" i="6"/>
  <c r="B416" i="6"/>
  <c r="H416" i="6" s="1"/>
  <c r="E385" i="1"/>
  <c r="B387" i="1"/>
  <c r="D386" i="1"/>
  <c r="BT385" i="1"/>
  <c r="BX385" i="1"/>
  <c r="P385" i="1"/>
  <c r="BP385" i="1"/>
  <c r="AF385" i="1"/>
  <c r="H385" i="1"/>
  <c r="BL385" i="1"/>
  <c r="AR385" i="1"/>
  <c r="AB385" i="1"/>
  <c r="BH385" i="1"/>
  <c r="CB385" i="1"/>
  <c r="AN385" i="1"/>
  <c r="X385" i="1"/>
  <c r="AJ385" i="1"/>
  <c r="AZ385" i="1"/>
  <c r="L385" i="1"/>
  <c r="T385" i="1"/>
  <c r="BD385" i="1"/>
  <c r="AV385" i="1"/>
  <c r="B215" i="1"/>
  <c r="B99" i="7" s="1"/>
  <c r="K369" i="1"/>
  <c r="K131" i="7" s="1"/>
  <c r="K372" i="1"/>
  <c r="M372" i="1" s="1"/>
  <c r="N372" i="1" s="1"/>
  <c r="K384" i="1"/>
  <c r="K378" i="1"/>
  <c r="EV372" i="1"/>
  <c r="K377" i="1"/>
  <c r="M377" i="1" s="1"/>
  <c r="EW382" i="1"/>
  <c r="EV382" i="1" s="1"/>
  <c r="F382" i="1"/>
  <c r="EW381" i="1"/>
  <c r="EV381" i="1" s="1"/>
  <c r="F381" i="1"/>
  <c r="N383" i="1"/>
  <c r="EW370" i="1"/>
  <c r="EV370" i="1" s="1"/>
  <c r="F370" i="1"/>
  <c r="K370" i="1"/>
  <c r="M370" i="1" s="1"/>
  <c r="J370" i="1"/>
  <c r="O382" i="1"/>
  <c r="Q382" i="1" s="1"/>
  <c r="K375" i="1"/>
  <c r="M375" i="1" s="1"/>
  <c r="J375" i="1"/>
  <c r="F373" i="1"/>
  <c r="EW373" i="1"/>
  <c r="EV373" i="1" s="1"/>
  <c r="EW380" i="1"/>
  <c r="EV380" i="1" s="1"/>
  <c r="F380" i="1"/>
  <c r="E455" i="1"/>
  <c r="J461" i="1"/>
  <c r="J380" i="1"/>
  <c r="K380" i="1"/>
  <c r="M380" i="1" s="1"/>
  <c r="K373" i="1"/>
  <c r="M373" i="1" s="1"/>
  <c r="J373" i="1"/>
  <c r="EW383" i="1"/>
  <c r="EV383" i="1" s="1"/>
  <c r="F383" i="1"/>
  <c r="F377" i="1"/>
  <c r="EW377" i="1"/>
  <c r="EV377" i="1" s="1"/>
  <c r="J374" i="1"/>
  <c r="K374" i="1"/>
  <c r="M374" i="1" s="1"/>
  <c r="K381" i="1"/>
  <c r="M381" i="1" s="1"/>
  <c r="J381" i="1"/>
  <c r="J367" i="1"/>
  <c r="J444" i="1"/>
  <c r="E440" i="1"/>
  <c r="K376" i="1"/>
  <c r="M376" i="1" s="1"/>
  <c r="J376" i="1"/>
  <c r="F371" i="1"/>
  <c r="EW371" i="1"/>
  <c r="EV371" i="1" s="1"/>
  <c r="EW374" i="1"/>
  <c r="EV374" i="1" s="1"/>
  <c r="F374" i="1"/>
  <c r="F384" i="1"/>
  <c r="EW384" i="1"/>
  <c r="EV384" i="1" s="1"/>
  <c r="EW367" i="1"/>
  <c r="F367" i="1"/>
  <c r="E444" i="1"/>
  <c r="F375" i="1"/>
  <c r="EW375" i="1"/>
  <c r="EV375" i="1" s="1"/>
  <c r="K371" i="1"/>
  <c r="M371" i="1" s="1"/>
  <c r="J371" i="1"/>
  <c r="EW376" i="1"/>
  <c r="EV376" i="1" s="1"/>
  <c r="F376" i="1"/>
  <c r="K368" i="1"/>
  <c r="K130" i="7" s="1"/>
  <c r="J368" i="1"/>
  <c r="E450" i="1"/>
  <c r="J463" i="1"/>
  <c r="K379" i="1"/>
  <c r="M379" i="1" s="1"/>
  <c r="J379" i="1"/>
  <c r="F368" i="1"/>
  <c r="EW368" i="1"/>
  <c r="E463" i="1"/>
  <c r="F369" i="1"/>
  <c r="EW369" i="1"/>
  <c r="EW378" i="1"/>
  <c r="F378" i="1"/>
  <c r="F133" i="7" s="1"/>
  <c r="F379" i="1"/>
  <c r="EW379" i="1"/>
  <c r="EV379" i="1" s="1"/>
  <c r="F130" i="7" l="1"/>
  <c r="F467" i="6"/>
  <c r="F129" i="7"/>
  <c r="F466" i="6"/>
  <c r="V129" i="7"/>
  <c r="P466" i="6"/>
  <c r="G482" i="6" s="1"/>
  <c r="J129" i="7"/>
  <c r="I466" i="6"/>
  <c r="V130" i="7"/>
  <c r="P467" i="6"/>
  <c r="G491" i="6" s="1"/>
  <c r="V131" i="7"/>
  <c r="P468" i="6"/>
  <c r="F131" i="7"/>
  <c r="F468" i="6"/>
  <c r="J130" i="7"/>
  <c r="I467" i="6"/>
  <c r="H198" i="7"/>
  <c r="L218" i="7" s="1"/>
  <c r="H218" i="7"/>
  <c r="C207" i="7"/>
  <c r="E198" i="7"/>
  <c r="F198" i="7" s="1"/>
  <c r="L212" i="7" s="1"/>
  <c r="K133" i="7"/>
  <c r="EV378" i="1"/>
  <c r="V133" i="7"/>
  <c r="H223" i="7"/>
  <c r="C206" i="7"/>
  <c r="H215" i="7"/>
  <c r="K198" i="7"/>
  <c r="L215" i="7" s="1"/>
  <c r="I132" i="4"/>
  <c r="F385" i="1"/>
  <c r="J385" i="1"/>
  <c r="E416" i="6"/>
  <c r="G416" i="6"/>
  <c r="F415" i="6"/>
  <c r="B417" i="6"/>
  <c r="H417" i="6" s="1"/>
  <c r="I399" i="6"/>
  <c r="C400" i="6" s="1"/>
  <c r="B216" i="1"/>
  <c r="B217" i="1" s="1"/>
  <c r="B218" i="1" s="1"/>
  <c r="B219" i="1" s="1"/>
  <c r="B220" i="1" s="1"/>
  <c r="B221" i="1" s="1"/>
  <c r="B222" i="1" s="1"/>
  <c r="EW385" i="1"/>
  <c r="K385" i="1"/>
  <c r="M385" i="1" s="1"/>
  <c r="N385" i="1" s="1"/>
  <c r="AV386" i="1"/>
  <c r="BP386" i="1"/>
  <c r="H386" i="1"/>
  <c r="BH386" i="1"/>
  <c r="CB386" i="1"/>
  <c r="AZ386" i="1"/>
  <c r="X386" i="1"/>
  <c r="BX386" i="1"/>
  <c r="BT386" i="1"/>
  <c r="BD386" i="1"/>
  <c r="T386" i="1"/>
  <c r="CF386" i="1"/>
  <c r="P386" i="1"/>
  <c r="L386" i="1"/>
  <c r="BL386" i="1"/>
  <c r="AB386" i="1"/>
  <c r="AJ386" i="1"/>
  <c r="AR386" i="1"/>
  <c r="AF386" i="1"/>
  <c r="AN386" i="1"/>
  <c r="E386" i="1"/>
  <c r="EU386" i="1"/>
  <c r="B388" i="1"/>
  <c r="D387" i="1"/>
  <c r="M368" i="1"/>
  <c r="K467" i="6" s="1"/>
  <c r="EV368" i="1"/>
  <c r="M378" i="1"/>
  <c r="EV369" i="1"/>
  <c r="M384" i="1"/>
  <c r="N384" i="1" s="1"/>
  <c r="M369" i="1"/>
  <c r="O377" i="1"/>
  <c r="N377" i="1"/>
  <c r="N382" i="1"/>
  <c r="N374" i="1"/>
  <c r="N380" i="1"/>
  <c r="O372" i="1"/>
  <c r="Q372" i="1" s="1"/>
  <c r="N371" i="1"/>
  <c r="O383" i="1"/>
  <c r="Q383" i="1" s="1"/>
  <c r="EV367" i="1"/>
  <c r="N381" i="1"/>
  <c r="N376" i="1"/>
  <c r="N379" i="1"/>
  <c r="R382" i="1"/>
  <c r="L459" i="1"/>
  <c r="E458" i="1"/>
  <c r="N370" i="1"/>
  <c r="N373" i="1"/>
  <c r="E442" i="1"/>
  <c r="N375" i="1"/>
  <c r="K512" i="6"/>
  <c r="E512" i="6" s="1"/>
  <c r="B513" i="6"/>
  <c r="C512" i="6"/>
  <c r="B201" i="6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C200" i="6"/>
  <c r="C73" i="6"/>
  <c r="C316" i="7" s="1"/>
  <c r="B74" i="6"/>
  <c r="B317" i="7" s="1"/>
  <c r="B449" i="7" l="1"/>
  <c r="B628" i="6"/>
  <c r="E448" i="7"/>
  <c r="E627" i="6"/>
  <c r="C448" i="7"/>
  <c r="C627" i="6"/>
  <c r="H212" i="7"/>
  <c r="M131" i="7"/>
  <c r="K468" i="6"/>
  <c r="M227" i="7"/>
  <c r="C205" i="7"/>
  <c r="H224" i="7"/>
  <c r="M224" i="7"/>
  <c r="H227" i="7"/>
  <c r="H228" i="7" s="1"/>
  <c r="U131" i="7"/>
  <c r="O468" i="6"/>
  <c r="U130" i="7"/>
  <c r="O467" i="6"/>
  <c r="U129" i="7"/>
  <c r="O466" i="6"/>
  <c r="N378" i="1"/>
  <c r="N133" i="7" s="1"/>
  <c r="M133" i="7"/>
  <c r="M198" i="7"/>
  <c r="U133" i="7"/>
  <c r="N464" i="1"/>
  <c r="M130" i="7"/>
  <c r="EV385" i="1"/>
  <c r="E417" i="6"/>
  <c r="G417" i="6"/>
  <c r="F416" i="6"/>
  <c r="B418" i="6"/>
  <c r="H418" i="6" s="1"/>
  <c r="N369" i="1"/>
  <c r="B514" i="6"/>
  <c r="B75" i="6"/>
  <c r="F386" i="1"/>
  <c r="EW386" i="1"/>
  <c r="K386" i="1"/>
  <c r="M386" i="1" s="1"/>
  <c r="J386" i="1"/>
  <c r="BD387" i="1"/>
  <c r="BX387" i="1"/>
  <c r="BL387" i="1"/>
  <c r="BH387" i="1"/>
  <c r="BP387" i="1"/>
  <c r="AV387" i="1"/>
  <c r="AZ387" i="1"/>
  <c r="AN387" i="1"/>
  <c r="P387" i="1"/>
  <c r="AF387" i="1"/>
  <c r="AJ387" i="1"/>
  <c r="T387" i="1"/>
  <c r="CF387" i="1"/>
  <c r="L387" i="1"/>
  <c r="H387" i="1"/>
  <c r="CJ387" i="1"/>
  <c r="AB387" i="1"/>
  <c r="AR387" i="1"/>
  <c r="CB387" i="1"/>
  <c r="X387" i="1"/>
  <c r="BT387" i="1"/>
  <c r="EU387" i="1"/>
  <c r="E387" i="1"/>
  <c r="B389" i="1"/>
  <c r="D388" i="1"/>
  <c r="O378" i="1"/>
  <c r="O384" i="1"/>
  <c r="Q384" i="1" s="1"/>
  <c r="R384" i="1" s="1"/>
  <c r="O369" i="1"/>
  <c r="O131" i="7" s="1"/>
  <c r="E73" i="6"/>
  <c r="G512" i="6"/>
  <c r="Q377" i="1"/>
  <c r="R377" i="1" s="1"/>
  <c r="O385" i="1"/>
  <c r="O373" i="1"/>
  <c r="Q373" i="1" s="1"/>
  <c r="O376" i="1"/>
  <c r="Q376" i="1" s="1"/>
  <c r="R372" i="1"/>
  <c r="R383" i="1"/>
  <c r="O370" i="1"/>
  <c r="Q370" i="1" s="1"/>
  <c r="O379" i="1"/>
  <c r="Q379" i="1" s="1"/>
  <c r="O380" i="1"/>
  <c r="Q380" i="1" s="1"/>
  <c r="S382" i="1"/>
  <c r="U382" i="1" s="1"/>
  <c r="L461" i="1"/>
  <c r="J464" i="1"/>
  <c r="E459" i="1"/>
  <c r="N368" i="1"/>
  <c r="O375" i="1"/>
  <c r="Q375" i="1" s="1"/>
  <c r="O381" i="1"/>
  <c r="Q381" i="1" s="1"/>
  <c r="O371" i="1"/>
  <c r="Q371" i="1" s="1"/>
  <c r="O374" i="1"/>
  <c r="Q374" i="1" s="1"/>
  <c r="B223" i="1"/>
  <c r="G200" i="6"/>
  <c r="C201" i="6" s="1"/>
  <c r="B450" i="7" l="1"/>
  <c r="B629" i="6"/>
  <c r="G448" i="7"/>
  <c r="G627" i="6"/>
  <c r="N130" i="7"/>
  <c r="L467" i="6"/>
  <c r="N131" i="7"/>
  <c r="L468" i="6"/>
  <c r="N198" i="7"/>
  <c r="C208" i="7"/>
  <c r="H230" i="7"/>
  <c r="Q378" i="1"/>
  <c r="O133" i="7"/>
  <c r="N386" i="1"/>
  <c r="E316" i="7"/>
  <c r="E418" i="6"/>
  <c r="G418" i="6"/>
  <c r="F417" i="6"/>
  <c r="B419" i="6"/>
  <c r="H419" i="6" s="1"/>
  <c r="I400" i="6"/>
  <c r="C401" i="6" s="1"/>
  <c r="B76" i="6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318" i="7"/>
  <c r="B515" i="6"/>
  <c r="B516" i="6" s="1"/>
  <c r="B517" i="6" s="1"/>
  <c r="B518" i="6" s="1"/>
  <c r="B519" i="6" s="1"/>
  <c r="B520" i="6" s="1"/>
  <c r="B521" i="6" s="1"/>
  <c r="B522" i="6" s="1"/>
  <c r="B523" i="6" s="1"/>
  <c r="B524" i="6" s="1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O386" i="1"/>
  <c r="Q386" i="1" s="1"/>
  <c r="R386" i="1" s="1"/>
  <c r="AR388" i="1"/>
  <c r="BD388" i="1"/>
  <c r="L388" i="1"/>
  <c r="BX388" i="1"/>
  <c r="AJ388" i="1"/>
  <c r="AV388" i="1"/>
  <c r="BT388" i="1"/>
  <c r="P388" i="1"/>
  <c r="AF388" i="1"/>
  <c r="CN388" i="1"/>
  <c r="AB388" i="1"/>
  <c r="AN388" i="1"/>
  <c r="CB388" i="1"/>
  <c r="T388" i="1"/>
  <c r="BH388" i="1"/>
  <c r="AZ388" i="1"/>
  <c r="BL388" i="1"/>
  <c r="BP388" i="1"/>
  <c r="X388" i="1"/>
  <c r="CF388" i="1"/>
  <c r="H388" i="1"/>
  <c r="CJ388" i="1"/>
  <c r="EU388" i="1"/>
  <c r="E388" i="1"/>
  <c r="B390" i="1"/>
  <c r="D389" i="1"/>
  <c r="EV386" i="1"/>
  <c r="F387" i="1"/>
  <c r="EW387" i="1"/>
  <c r="J387" i="1"/>
  <c r="K387" i="1"/>
  <c r="S377" i="1"/>
  <c r="U377" i="1" s="1"/>
  <c r="V377" i="1" s="1"/>
  <c r="Q369" i="1"/>
  <c r="Q131" i="7" s="1"/>
  <c r="Q385" i="1"/>
  <c r="R385" i="1" s="1"/>
  <c r="S384" i="1"/>
  <c r="R381" i="1"/>
  <c r="R380" i="1"/>
  <c r="R376" i="1"/>
  <c r="R379" i="1"/>
  <c r="R374" i="1"/>
  <c r="R373" i="1"/>
  <c r="R375" i="1"/>
  <c r="E461" i="1"/>
  <c r="S378" i="1"/>
  <c r="U378" i="1" s="1"/>
  <c r="R371" i="1"/>
  <c r="V382" i="1"/>
  <c r="S383" i="1"/>
  <c r="U383" i="1" s="1"/>
  <c r="S372" i="1"/>
  <c r="U372" i="1" s="1"/>
  <c r="B224" i="1"/>
  <c r="F512" i="6"/>
  <c r="G201" i="6"/>
  <c r="C202" i="6" s="1"/>
  <c r="B320" i="7"/>
  <c r="F448" i="7" l="1"/>
  <c r="F627" i="6"/>
  <c r="R378" i="1"/>
  <c r="R133" i="7" s="1"/>
  <c r="Q133" i="7"/>
  <c r="EV387" i="1"/>
  <c r="E419" i="6"/>
  <c r="G419" i="6"/>
  <c r="F418" i="6"/>
  <c r="B420" i="6"/>
  <c r="H420" i="6" s="1"/>
  <c r="K388" i="1"/>
  <c r="J388" i="1"/>
  <c r="M387" i="1"/>
  <c r="BT389" i="1"/>
  <c r="AN389" i="1"/>
  <c r="H389" i="1"/>
  <c r="BP389" i="1"/>
  <c r="AJ389" i="1"/>
  <c r="AR389" i="1"/>
  <c r="BX389" i="1"/>
  <c r="CN389" i="1"/>
  <c r="BH389" i="1"/>
  <c r="AB389" i="1"/>
  <c r="AZ389" i="1"/>
  <c r="X389" i="1"/>
  <c r="BD389" i="1"/>
  <c r="CJ389" i="1"/>
  <c r="L389" i="1"/>
  <c r="BL389" i="1"/>
  <c r="AV389" i="1"/>
  <c r="AF389" i="1"/>
  <c r="CB389" i="1"/>
  <c r="T389" i="1"/>
  <c r="CR389" i="1"/>
  <c r="P389" i="1"/>
  <c r="CF389" i="1"/>
  <c r="E389" i="1"/>
  <c r="EU389" i="1"/>
  <c r="EW388" i="1"/>
  <c r="F388" i="1"/>
  <c r="B391" i="1"/>
  <c r="D390" i="1"/>
  <c r="R369" i="1"/>
  <c r="R131" i="7" s="1"/>
  <c r="S385" i="1"/>
  <c r="U385" i="1" s="1"/>
  <c r="V385" i="1" s="1"/>
  <c r="U384" i="1"/>
  <c r="V384" i="1" s="1"/>
  <c r="S379" i="1"/>
  <c r="S386" i="1"/>
  <c r="W382" i="1"/>
  <c r="Y382" i="1" s="1"/>
  <c r="S376" i="1"/>
  <c r="U376" i="1" s="1"/>
  <c r="S371" i="1"/>
  <c r="U371" i="1" s="1"/>
  <c r="S374" i="1"/>
  <c r="U374" i="1" s="1"/>
  <c r="R370" i="1"/>
  <c r="V378" i="1"/>
  <c r="S375" i="1"/>
  <c r="U375" i="1" s="1"/>
  <c r="W377" i="1"/>
  <c r="Y377" i="1" s="1"/>
  <c r="V372" i="1"/>
  <c r="V383" i="1"/>
  <c r="S373" i="1"/>
  <c r="U373" i="1" s="1"/>
  <c r="S380" i="1"/>
  <c r="U380" i="1" s="1"/>
  <c r="S370" i="1"/>
  <c r="U370" i="1" s="1"/>
  <c r="S381" i="1"/>
  <c r="U381" i="1" s="1"/>
  <c r="B225" i="1"/>
  <c r="EV388" i="1" l="1"/>
  <c r="O387" i="1"/>
  <c r="Q387" i="1" s="1"/>
  <c r="E420" i="6"/>
  <c r="G420" i="6"/>
  <c r="F419" i="6"/>
  <c r="B421" i="6"/>
  <c r="H421" i="6" s="1"/>
  <c r="I401" i="6"/>
  <c r="C402" i="6" s="1"/>
  <c r="N387" i="1"/>
  <c r="CJ390" i="1"/>
  <c r="AZ390" i="1"/>
  <c r="AB390" i="1"/>
  <c r="CB390" i="1"/>
  <c r="AR390" i="1"/>
  <c r="L390" i="1"/>
  <c r="BP390" i="1"/>
  <c r="AF390" i="1"/>
  <c r="T390" i="1"/>
  <c r="CR390" i="1"/>
  <c r="BD390" i="1"/>
  <c r="H390" i="1"/>
  <c r="CF390" i="1"/>
  <c r="BT390" i="1"/>
  <c r="BH390" i="1"/>
  <c r="BX390" i="1"/>
  <c r="X390" i="1"/>
  <c r="BL390" i="1"/>
  <c r="AV390" i="1"/>
  <c r="CV390" i="1"/>
  <c r="AN390" i="1"/>
  <c r="AJ390" i="1"/>
  <c r="P390" i="1"/>
  <c r="CN390" i="1"/>
  <c r="E390" i="1"/>
  <c r="EU390" i="1"/>
  <c r="J389" i="1"/>
  <c r="K389" i="1"/>
  <c r="B392" i="1"/>
  <c r="D391" i="1"/>
  <c r="M388" i="1"/>
  <c r="F389" i="1"/>
  <c r="EW389" i="1"/>
  <c r="W384" i="1"/>
  <c r="Y384" i="1" s="1"/>
  <c r="Z384" i="1" s="1"/>
  <c r="U379" i="1"/>
  <c r="U386" i="1"/>
  <c r="V386" i="1" s="1"/>
  <c r="Z377" i="1"/>
  <c r="V374" i="1"/>
  <c r="W383" i="1"/>
  <c r="Y383" i="1" s="1"/>
  <c r="V375" i="1"/>
  <c r="V371" i="1"/>
  <c r="V376" i="1"/>
  <c r="V380" i="1"/>
  <c r="W372" i="1"/>
  <c r="Y372" i="1" s="1"/>
  <c r="W378" i="1"/>
  <c r="Y378" i="1" s="1"/>
  <c r="V370" i="1"/>
  <c r="V373" i="1"/>
  <c r="W385" i="1"/>
  <c r="Y385" i="1" s="1"/>
  <c r="V381" i="1"/>
  <c r="Z382" i="1"/>
  <c r="B226" i="1"/>
  <c r="G202" i="6"/>
  <c r="C203" i="6" s="1"/>
  <c r="S387" i="1" l="1"/>
  <c r="U387" i="1" s="1"/>
  <c r="R387" i="1"/>
  <c r="N388" i="1"/>
  <c r="V379" i="1"/>
  <c r="E421" i="6"/>
  <c r="G421" i="6"/>
  <c r="F420" i="6"/>
  <c r="B422" i="6"/>
  <c r="H422" i="6" s="1"/>
  <c r="O388" i="1"/>
  <c r="F390" i="1"/>
  <c r="EW390" i="1"/>
  <c r="CZ391" i="1"/>
  <c r="CV391" i="1"/>
  <c r="P391" i="1"/>
  <c r="BL391" i="1"/>
  <c r="BT391" i="1"/>
  <c r="AJ391" i="1"/>
  <c r="AR391" i="1"/>
  <c r="T391" i="1"/>
  <c r="CB391" i="1"/>
  <c r="BD391" i="1"/>
  <c r="X391" i="1"/>
  <c r="BX391" i="1"/>
  <c r="CR391" i="1"/>
  <c r="CN391" i="1"/>
  <c r="L391" i="1"/>
  <c r="AZ391" i="1"/>
  <c r="AB391" i="1"/>
  <c r="CJ391" i="1"/>
  <c r="AN391" i="1"/>
  <c r="CF391" i="1"/>
  <c r="AV391" i="1"/>
  <c r="H391" i="1"/>
  <c r="AF391" i="1"/>
  <c r="BP391" i="1"/>
  <c r="BH391" i="1"/>
  <c r="E391" i="1"/>
  <c r="EU391" i="1"/>
  <c r="B393" i="1"/>
  <c r="D392" i="1"/>
  <c r="EV389" i="1"/>
  <c r="M389" i="1"/>
  <c r="K390" i="1"/>
  <c r="J390" i="1"/>
  <c r="W379" i="1"/>
  <c r="Y379" i="1" s="1"/>
  <c r="AA379" i="1" s="1"/>
  <c r="W386" i="1"/>
  <c r="W381" i="1"/>
  <c r="Z385" i="1"/>
  <c r="W376" i="1"/>
  <c r="Y376" i="1" s="1"/>
  <c r="W374" i="1"/>
  <c r="Y374" i="1" s="1"/>
  <c r="Z378" i="1"/>
  <c r="Z372" i="1"/>
  <c r="W373" i="1"/>
  <c r="Y373" i="1" s="1"/>
  <c r="W380" i="1"/>
  <c r="Y380" i="1" s="1"/>
  <c r="AA382" i="1"/>
  <c r="AC382" i="1" s="1"/>
  <c r="AA384" i="1"/>
  <c r="AC384" i="1" s="1"/>
  <c r="W375" i="1"/>
  <c r="Y375" i="1" s="1"/>
  <c r="W371" i="1"/>
  <c r="Y371" i="1" s="1"/>
  <c r="Z383" i="1"/>
  <c r="AA377" i="1"/>
  <c r="AC377" i="1" s="1"/>
  <c r="B227" i="1"/>
  <c r="W387" i="1" l="1"/>
  <c r="Y387" i="1" s="1"/>
  <c r="Z387" i="1" s="1"/>
  <c r="V387" i="1"/>
  <c r="EV390" i="1"/>
  <c r="N389" i="1"/>
  <c r="E422" i="6"/>
  <c r="G422" i="6"/>
  <c r="F421" i="6"/>
  <c r="B423" i="6"/>
  <c r="H423" i="6" s="1"/>
  <c r="I402" i="6"/>
  <c r="C403" i="6" s="1"/>
  <c r="O389" i="1"/>
  <c r="Q389" i="1" s="1"/>
  <c r="R389" i="1" s="1"/>
  <c r="F391" i="1"/>
  <c r="EW391" i="1"/>
  <c r="AR392" i="1"/>
  <c r="AN392" i="1"/>
  <c r="CJ392" i="1"/>
  <c r="CR392" i="1"/>
  <c r="X392" i="1"/>
  <c r="BL392" i="1"/>
  <c r="CF392" i="1"/>
  <c r="P392" i="1"/>
  <c r="AV392" i="1"/>
  <c r="BH392" i="1"/>
  <c r="BX392" i="1"/>
  <c r="H392" i="1"/>
  <c r="BT392" i="1"/>
  <c r="L392" i="1"/>
  <c r="AB392" i="1"/>
  <c r="CN392" i="1"/>
  <c r="DD392" i="1"/>
  <c r="CB392" i="1"/>
  <c r="BD392" i="1"/>
  <c r="T392" i="1"/>
  <c r="AZ392" i="1"/>
  <c r="AJ392" i="1"/>
  <c r="AF392" i="1"/>
  <c r="CZ392" i="1"/>
  <c r="CV392" i="1"/>
  <c r="BP392" i="1"/>
  <c r="EU392" i="1"/>
  <c r="E392" i="1"/>
  <c r="K391" i="1"/>
  <c r="J391" i="1"/>
  <c r="B394" i="1"/>
  <c r="D393" i="1"/>
  <c r="Q388" i="1"/>
  <c r="M390" i="1"/>
  <c r="AC379" i="1"/>
  <c r="AD379" i="1" s="1"/>
  <c r="Y386" i="1"/>
  <c r="Z386" i="1" s="1"/>
  <c r="Z379" i="1"/>
  <c r="Y381" i="1"/>
  <c r="AA372" i="1"/>
  <c r="AA378" i="1"/>
  <c r="AD377" i="1"/>
  <c r="AD382" i="1"/>
  <c r="Z376" i="1"/>
  <c r="AD384" i="1"/>
  <c r="Z374" i="1"/>
  <c r="AA383" i="1"/>
  <c r="AC383" i="1" s="1"/>
  <c r="Z371" i="1"/>
  <c r="Z380" i="1"/>
  <c r="Z375" i="1"/>
  <c r="Z373" i="1"/>
  <c r="AA385" i="1"/>
  <c r="AC385" i="1" s="1"/>
  <c r="B228" i="1"/>
  <c r="G203" i="6"/>
  <c r="C204" i="6" s="1"/>
  <c r="AA387" i="1" l="1"/>
  <c r="AC387" i="1" s="1"/>
  <c r="AD387" i="1" s="1"/>
  <c r="S388" i="1"/>
  <c r="U388" i="1" s="1"/>
  <c r="AA381" i="1"/>
  <c r="AC381" i="1" s="1"/>
  <c r="AD381" i="1" s="1"/>
  <c r="N390" i="1"/>
  <c r="F422" i="6"/>
  <c r="E423" i="6"/>
  <c r="G423" i="6"/>
  <c r="B424" i="6"/>
  <c r="H424" i="6" s="1"/>
  <c r="S389" i="1"/>
  <c r="U389" i="1" s="1"/>
  <c r="V389" i="1" s="1"/>
  <c r="R388" i="1"/>
  <c r="EV391" i="1"/>
  <c r="J392" i="1"/>
  <c r="K392" i="1"/>
  <c r="AB393" i="1"/>
  <c r="AR393" i="1"/>
  <c r="AZ393" i="1"/>
  <c r="DD393" i="1"/>
  <c r="BX393" i="1"/>
  <c r="X393" i="1"/>
  <c r="CZ393" i="1"/>
  <c r="AN393" i="1"/>
  <c r="L393" i="1"/>
  <c r="P393" i="1"/>
  <c r="BP393" i="1"/>
  <c r="CB393" i="1"/>
  <c r="T393" i="1"/>
  <c r="AJ393" i="1"/>
  <c r="CN393" i="1"/>
  <c r="DH393" i="1"/>
  <c r="H393" i="1"/>
  <c r="BL393" i="1"/>
  <c r="AV393" i="1"/>
  <c r="BT393" i="1"/>
  <c r="AF393" i="1"/>
  <c r="CR393" i="1"/>
  <c r="CF393" i="1"/>
  <c r="BD393" i="1"/>
  <c r="CV393" i="1"/>
  <c r="BH393" i="1"/>
  <c r="CJ393" i="1"/>
  <c r="EU393" i="1"/>
  <c r="E393" i="1"/>
  <c r="EW392" i="1"/>
  <c r="F392" i="1"/>
  <c r="O390" i="1"/>
  <c r="B395" i="1"/>
  <c r="D394" i="1"/>
  <c r="M391" i="1"/>
  <c r="AE379" i="1"/>
  <c r="AG379" i="1" s="1"/>
  <c r="AH379" i="1" s="1"/>
  <c r="AA386" i="1"/>
  <c r="AC386" i="1" s="1"/>
  <c r="AD386" i="1" s="1"/>
  <c r="Z381" i="1"/>
  <c r="AC378" i="1"/>
  <c r="AD378" i="1" s="1"/>
  <c r="AC372" i="1"/>
  <c r="AA374" i="1"/>
  <c r="AA375" i="1"/>
  <c r="AE384" i="1"/>
  <c r="AA376" i="1"/>
  <c r="AD383" i="1"/>
  <c r="AE382" i="1"/>
  <c r="AG382" i="1" s="1"/>
  <c r="AD385" i="1"/>
  <c r="AA380" i="1"/>
  <c r="AC380" i="1" s="1"/>
  <c r="AA373" i="1"/>
  <c r="AC373" i="1" s="1"/>
  <c r="AE377" i="1"/>
  <c r="AG377" i="1" s="1"/>
  <c r="B229" i="1"/>
  <c r="O391" i="1" l="1"/>
  <c r="Q391" i="1" s="1"/>
  <c r="R391" i="1" s="1"/>
  <c r="EV392" i="1"/>
  <c r="AD372" i="1"/>
  <c r="W388" i="1"/>
  <c r="Y388" i="1" s="1"/>
  <c r="F423" i="6"/>
  <c r="E424" i="6"/>
  <c r="G424" i="6"/>
  <c r="I403" i="6"/>
  <c r="C404" i="6" s="1"/>
  <c r="B425" i="6"/>
  <c r="H425" i="6" s="1"/>
  <c r="B396" i="1"/>
  <c r="D395" i="1"/>
  <c r="Q390" i="1"/>
  <c r="DL394" i="1"/>
  <c r="AF394" i="1"/>
  <c r="CF394" i="1"/>
  <c r="BH394" i="1"/>
  <c r="CV394" i="1"/>
  <c r="BD394" i="1"/>
  <c r="DH394" i="1"/>
  <c r="CB394" i="1"/>
  <c r="X394" i="1"/>
  <c r="CR394" i="1"/>
  <c r="AJ394" i="1"/>
  <c r="BP394" i="1"/>
  <c r="CZ394" i="1"/>
  <c r="CJ394" i="1"/>
  <c r="H394" i="1"/>
  <c r="AB394" i="1"/>
  <c r="BX394" i="1"/>
  <c r="AR394" i="1"/>
  <c r="L394" i="1"/>
  <c r="AV394" i="1"/>
  <c r="DD394" i="1"/>
  <c r="CN394" i="1"/>
  <c r="BL394" i="1"/>
  <c r="T394" i="1"/>
  <c r="BT394" i="1"/>
  <c r="P394" i="1"/>
  <c r="AZ394" i="1"/>
  <c r="AN394" i="1"/>
  <c r="EU394" i="1"/>
  <c r="E394" i="1"/>
  <c r="J393" i="1"/>
  <c r="K393" i="1"/>
  <c r="M393" i="1" s="1"/>
  <c r="O393" i="1" s="1"/>
  <c r="V388" i="1"/>
  <c r="W389" i="1"/>
  <c r="M392" i="1"/>
  <c r="N391" i="1"/>
  <c r="F393" i="1"/>
  <c r="EW393" i="1"/>
  <c r="AE387" i="1"/>
  <c r="AG387" i="1" s="1"/>
  <c r="AH387" i="1" s="1"/>
  <c r="AE386" i="1"/>
  <c r="AG386" i="1" s="1"/>
  <c r="AH386" i="1" s="1"/>
  <c r="AC376" i="1"/>
  <c r="AD376" i="1" s="1"/>
  <c r="AE378" i="1"/>
  <c r="AC374" i="1"/>
  <c r="AC375" i="1"/>
  <c r="AD375" i="1" s="1"/>
  <c r="AG384" i="1"/>
  <c r="AI384" i="1" s="1"/>
  <c r="AK384" i="1" s="1"/>
  <c r="AE381" i="1"/>
  <c r="AI379" i="1"/>
  <c r="AE373" i="1"/>
  <c r="AG373" i="1" s="1"/>
  <c r="AH382" i="1"/>
  <c r="AE383" i="1"/>
  <c r="AG383" i="1" s="1"/>
  <c r="AE385" i="1"/>
  <c r="AG385" i="1" s="1"/>
  <c r="AH377" i="1"/>
  <c r="AD380" i="1"/>
  <c r="B230" i="1"/>
  <c r="G204" i="6"/>
  <c r="C205" i="6" s="1"/>
  <c r="EV393" i="1" l="1"/>
  <c r="Z388" i="1"/>
  <c r="AA388" i="1"/>
  <c r="AC388" i="1" s="1"/>
  <c r="AD374" i="1"/>
  <c r="N392" i="1"/>
  <c r="F424" i="6"/>
  <c r="E425" i="6"/>
  <c r="G425" i="6"/>
  <c r="B426" i="6"/>
  <c r="H426" i="6" s="1"/>
  <c r="S391" i="1"/>
  <c r="U391" i="1" s="1"/>
  <c r="V391" i="1" s="1"/>
  <c r="O392" i="1"/>
  <c r="Q392" i="1" s="1"/>
  <c r="N393" i="1"/>
  <c r="R390" i="1"/>
  <c r="AN395" i="1"/>
  <c r="CN395" i="1"/>
  <c r="AZ395" i="1"/>
  <c r="DP395" i="1"/>
  <c r="CV395" i="1"/>
  <c r="BL395" i="1"/>
  <c r="BH395" i="1"/>
  <c r="DL395" i="1"/>
  <c r="BX395" i="1"/>
  <c r="X395" i="1"/>
  <c r="AJ395" i="1"/>
  <c r="BD395" i="1"/>
  <c r="AV395" i="1"/>
  <c r="L395" i="1"/>
  <c r="P395" i="1"/>
  <c r="BP395" i="1"/>
  <c r="H395" i="1"/>
  <c r="CB395" i="1"/>
  <c r="AB395" i="1"/>
  <c r="AR395" i="1"/>
  <c r="AF395" i="1"/>
  <c r="CF395" i="1"/>
  <c r="T395" i="1"/>
  <c r="DH395" i="1"/>
  <c r="DD395" i="1"/>
  <c r="CJ395" i="1"/>
  <c r="BT395" i="1"/>
  <c r="CZ395" i="1"/>
  <c r="CR395" i="1"/>
  <c r="EU395" i="1"/>
  <c r="E395" i="1"/>
  <c r="Y389" i="1"/>
  <c r="B397" i="1"/>
  <c r="D396" i="1"/>
  <c r="Q393" i="1"/>
  <c r="R393" i="1" s="1"/>
  <c r="EW394" i="1"/>
  <c r="F394" i="1"/>
  <c r="K394" i="1"/>
  <c r="J394" i="1"/>
  <c r="S390" i="1"/>
  <c r="AE376" i="1"/>
  <c r="AG376" i="1" s="1"/>
  <c r="AH376" i="1" s="1"/>
  <c r="AI386" i="1"/>
  <c r="AK386" i="1" s="1"/>
  <c r="AL386" i="1" s="1"/>
  <c r="AE374" i="1"/>
  <c r="AG374" i="1" s="1"/>
  <c r="AH384" i="1"/>
  <c r="AE375" i="1"/>
  <c r="AG375" i="1" s="1"/>
  <c r="AH375" i="1" s="1"/>
  <c r="AD388" i="1"/>
  <c r="AK379" i="1"/>
  <c r="AL379" i="1" s="1"/>
  <c r="AG378" i="1"/>
  <c r="AI378" i="1" s="1"/>
  <c r="AK378" i="1" s="1"/>
  <c r="AL378" i="1" s="1"/>
  <c r="AG381" i="1"/>
  <c r="AH381" i="1" s="1"/>
  <c r="AE380" i="1"/>
  <c r="AI382" i="1"/>
  <c r="AK382" i="1" s="1"/>
  <c r="AL384" i="1"/>
  <c r="AD373" i="1"/>
  <c r="AI377" i="1"/>
  <c r="AK377" i="1" s="1"/>
  <c r="AI387" i="1"/>
  <c r="AK387" i="1" s="1"/>
  <c r="AH373" i="1"/>
  <c r="AH385" i="1"/>
  <c r="AH383" i="1"/>
  <c r="B231" i="1"/>
  <c r="G205" i="6"/>
  <c r="C206" i="6" s="1"/>
  <c r="G206" i="6" s="1"/>
  <c r="C207" i="6" s="1"/>
  <c r="G207" i="6" s="1"/>
  <c r="C208" i="6" s="1"/>
  <c r="G208" i="6" s="1"/>
  <c r="C209" i="6" s="1"/>
  <c r="G209" i="6" s="1"/>
  <c r="C210" i="6" s="1"/>
  <c r="G210" i="6" s="1"/>
  <c r="C211" i="6" s="1"/>
  <c r="AH374" i="1" l="1"/>
  <c r="AA389" i="1"/>
  <c r="AC389" i="1" s="1"/>
  <c r="R392" i="1"/>
  <c r="AE388" i="1"/>
  <c r="AG388" i="1" s="1"/>
  <c r="AH388" i="1" s="1"/>
  <c r="EV394" i="1"/>
  <c r="F425" i="6"/>
  <c r="E426" i="6"/>
  <c r="G426" i="6"/>
  <c r="I404" i="6"/>
  <c r="C405" i="6" s="1"/>
  <c r="B427" i="6"/>
  <c r="S393" i="1"/>
  <c r="U393" i="1" s="1"/>
  <c r="V393" i="1" s="1"/>
  <c r="W391" i="1"/>
  <c r="Y391" i="1" s="1"/>
  <c r="Z391" i="1" s="1"/>
  <c r="S392" i="1"/>
  <c r="U392" i="1" s="1"/>
  <c r="V392" i="1" s="1"/>
  <c r="DH396" i="1"/>
  <c r="AV396" i="1"/>
  <c r="X396" i="1"/>
  <c r="AJ396" i="1"/>
  <c r="CN396" i="1"/>
  <c r="BL396" i="1"/>
  <c r="CJ396" i="1"/>
  <c r="BT396" i="1"/>
  <c r="CB396" i="1"/>
  <c r="CZ396" i="1"/>
  <c r="BD396" i="1"/>
  <c r="DP396" i="1"/>
  <c r="BP396" i="1"/>
  <c r="AF396" i="1"/>
  <c r="H396" i="1"/>
  <c r="AR396" i="1"/>
  <c r="CR396" i="1"/>
  <c r="AB396" i="1"/>
  <c r="DD396" i="1"/>
  <c r="BX396" i="1"/>
  <c r="T396" i="1"/>
  <c r="CF396" i="1"/>
  <c r="DL396" i="1"/>
  <c r="DT396" i="1"/>
  <c r="L396" i="1"/>
  <c r="BH396" i="1"/>
  <c r="AZ396" i="1"/>
  <c r="P396" i="1"/>
  <c r="AN396" i="1"/>
  <c r="CV396" i="1"/>
  <c r="EU396" i="1"/>
  <c r="E396" i="1"/>
  <c r="J395" i="1"/>
  <c r="K395" i="1"/>
  <c r="Z389" i="1"/>
  <c r="U390" i="1"/>
  <c r="B398" i="1"/>
  <c r="D397" i="1"/>
  <c r="EW395" i="1"/>
  <c r="F395" i="1"/>
  <c r="M394" i="1"/>
  <c r="AI381" i="1"/>
  <c r="AK381" i="1" s="1"/>
  <c r="AM381" i="1" s="1"/>
  <c r="AO381" i="1" s="1"/>
  <c r="AP381" i="1" s="1"/>
  <c r="AM379" i="1"/>
  <c r="AO379" i="1" s="1"/>
  <c r="AP379" i="1" s="1"/>
  <c r="AH378" i="1"/>
  <c r="AG380" i="1"/>
  <c r="AM384" i="1"/>
  <c r="AO384" i="1" s="1"/>
  <c r="AP384" i="1" s="1"/>
  <c r="AL377" i="1"/>
  <c r="AI375" i="1"/>
  <c r="AK375" i="1" s="1"/>
  <c r="AL382" i="1"/>
  <c r="AM378" i="1"/>
  <c r="AO378" i="1" s="1"/>
  <c r="AI374" i="1"/>
  <c r="AK374" i="1" s="1"/>
  <c r="AM386" i="1"/>
  <c r="AO386" i="1" s="1"/>
  <c r="AI383" i="1"/>
  <c r="AK383" i="1" s="1"/>
  <c r="AI376" i="1"/>
  <c r="AK376" i="1" s="1"/>
  <c r="AL387" i="1"/>
  <c r="AI385" i="1"/>
  <c r="AK385" i="1" s="1"/>
  <c r="B232" i="1"/>
  <c r="G211" i="6"/>
  <c r="C212" i="6" s="1"/>
  <c r="G212" i="6" s="1"/>
  <c r="C213" i="6" s="1"/>
  <c r="B452" i="7"/>
  <c r="B631" i="6"/>
  <c r="B438" i="7"/>
  <c r="B607" i="6"/>
  <c r="EV395" i="1" l="1"/>
  <c r="O394" i="1"/>
  <c r="Q394" i="1" s="1"/>
  <c r="AE389" i="1"/>
  <c r="AG389" i="1" s="1"/>
  <c r="AI388" i="1"/>
  <c r="AK388" i="1" s="1"/>
  <c r="AL388" i="1" s="1"/>
  <c r="W390" i="1"/>
  <c r="Y390" i="1" s="1"/>
  <c r="H427" i="6"/>
  <c r="F426" i="6"/>
  <c r="AA391" i="1"/>
  <c r="V390" i="1"/>
  <c r="W392" i="1"/>
  <c r="AD389" i="1"/>
  <c r="N394" i="1"/>
  <c r="CJ397" i="1"/>
  <c r="AJ397" i="1"/>
  <c r="BH397" i="1"/>
  <c r="CZ397" i="1"/>
  <c r="BL397" i="1"/>
  <c r="X397" i="1"/>
  <c r="DT397" i="1"/>
  <c r="CV397" i="1"/>
  <c r="BD397" i="1"/>
  <c r="L397" i="1"/>
  <c r="AV397" i="1"/>
  <c r="DX397" i="1"/>
  <c r="AB397" i="1"/>
  <c r="CN397" i="1"/>
  <c r="H397" i="1"/>
  <c r="AZ397" i="1"/>
  <c r="P397" i="1"/>
  <c r="AN397" i="1"/>
  <c r="BT397" i="1"/>
  <c r="CF397" i="1"/>
  <c r="T397" i="1"/>
  <c r="AF397" i="1"/>
  <c r="CR397" i="1"/>
  <c r="AR397" i="1"/>
  <c r="DL397" i="1"/>
  <c r="BP397" i="1"/>
  <c r="BX397" i="1"/>
  <c r="DD397" i="1"/>
  <c r="DP397" i="1"/>
  <c r="DH397" i="1"/>
  <c r="CB397" i="1"/>
  <c r="EU397" i="1"/>
  <c r="E397" i="1"/>
  <c r="EW396" i="1"/>
  <c r="F396" i="1"/>
  <c r="M395" i="1"/>
  <c r="W393" i="1"/>
  <c r="B399" i="1"/>
  <c r="D398" i="1"/>
  <c r="J396" i="1"/>
  <c r="K396" i="1"/>
  <c r="AL381" i="1"/>
  <c r="AH380" i="1"/>
  <c r="AI380" i="1"/>
  <c r="AK380" i="1" s="1"/>
  <c r="AM382" i="1"/>
  <c r="AO382" i="1" s="1"/>
  <c r="AL383" i="1"/>
  <c r="AL376" i="1"/>
  <c r="AL374" i="1"/>
  <c r="AQ379" i="1"/>
  <c r="AS379" i="1" s="1"/>
  <c r="AQ381" i="1"/>
  <c r="AS381" i="1" s="1"/>
  <c r="AL375" i="1"/>
  <c r="AP386" i="1"/>
  <c r="AP378" i="1"/>
  <c r="AL385" i="1"/>
  <c r="AQ384" i="1"/>
  <c r="AS384" i="1" s="1"/>
  <c r="AM387" i="1"/>
  <c r="AO387" i="1" s="1"/>
  <c r="AM377" i="1"/>
  <c r="AO377" i="1" s="1"/>
  <c r="B233" i="1"/>
  <c r="G213" i="6"/>
  <c r="C214" i="6" s="1"/>
  <c r="H607" i="6"/>
  <c r="H438" i="7"/>
  <c r="H428" i="6"/>
  <c r="H608" i="6" l="1"/>
  <c r="H439" i="7"/>
  <c r="E427" i="6"/>
  <c r="AI389" i="1"/>
  <c r="AK389" i="1" s="1"/>
  <c r="G427" i="6"/>
  <c r="AA390" i="1"/>
  <c r="AC390" i="1" s="1"/>
  <c r="AL380" i="1"/>
  <c r="S394" i="1"/>
  <c r="U394" i="1" s="1"/>
  <c r="AH389" i="1"/>
  <c r="EV396" i="1"/>
  <c r="N395" i="1"/>
  <c r="I405" i="6"/>
  <c r="C406" i="6" s="1"/>
  <c r="O395" i="1"/>
  <c r="Q395" i="1" s="1"/>
  <c r="AC391" i="1"/>
  <c r="AD391" i="1" s="1"/>
  <c r="CJ398" i="1"/>
  <c r="DL398" i="1"/>
  <c r="BH398" i="1"/>
  <c r="P398" i="1"/>
  <c r="BD398" i="1"/>
  <c r="AR398" i="1"/>
  <c r="DH398" i="1"/>
  <c r="CV398" i="1"/>
  <c r="AZ398" i="1"/>
  <c r="AF398" i="1"/>
  <c r="AV398" i="1"/>
  <c r="X398" i="1"/>
  <c r="CR398" i="1"/>
  <c r="AN398" i="1"/>
  <c r="BP398" i="1"/>
  <c r="AB398" i="1"/>
  <c r="AJ398" i="1"/>
  <c r="T398" i="1"/>
  <c r="DT398" i="1"/>
  <c r="DP398" i="1"/>
  <c r="BT398" i="1"/>
  <c r="DD398" i="1"/>
  <c r="DX398" i="1"/>
  <c r="CZ398" i="1"/>
  <c r="BL398" i="1"/>
  <c r="EB398" i="1"/>
  <c r="CN398" i="1"/>
  <c r="L398" i="1"/>
  <c r="H398" i="1"/>
  <c r="CF398" i="1"/>
  <c r="CB398" i="1"/>
  <c r="BX398" i="1"/>
  <c r="E398" i="1"/>
  <c r="EU398" i="1"/>
  <c r="Z390" i="1"/>
  <c r="F397" i="1"/>
  <c r="EW397" i="1"/>
  <c r="M396" i="1"/>
  <c r="B400" i="1"/>
  <c r="D399" i="1"/>
  <c r="Y392" i="1"/>
  <c r="Y393" i="1"/>
  <c r="Z393" i="1" s="1"/>
  <c r="K397" i="1"/>
  <c r="J397" i="1"/>
  <c r="R394" i="1"/>
  <c r="AM385" i="1"/>
  <c r="AQ386" i="1"/>
  <c r="AP382" i="1"/>
  <c r="AQ378" i="1"/>
  <c r="AS378" i="1" s="1"/>
  <c r="AT381" i="1"/>
  <c r="AP387" i="1"/>
  <c r="AT379" i="1"/>
  <c r="AM388" i="1"/>
  <c r="AO388" i="1" s="1"/>
  <c r="AM380" i="1"/>
  <c r="AO380" i="1" s="1"/>
  <c r="AP377" i="1"/>
  <c r="AM376" i="1"/>
  <c r="AO376" i="1" s="1"/>
  <c r="AM375" i="1"/>
  <c r="AO375" i="1" s="1"/>
  <c r="AT384" i="1"/>
  <c r="AM383" i="1"/>
  <c r="AO383" i="1" s="1"/>
  <c r="B234" i="1"/>
  <c r="G214" i="6"/>
  <c r="C215" i="6" s="1"/>
  <c r="G607" i="6"/>
  <c r="G428" i="6"/>
  <c r="E428" i="6"/>
  <c r="G438" i="7"/>
  <c r="E438" i="7"/>
  <c r="E607" i="6"/>
  <c r="E608" i="6" l="1"/>
  <c r="G608" i="6"/>
  <c r="G439" i="7"/>
  <c r="E439" i="7"/>
  <c r="AM389" i="1"/>
  <c r="AO389" i="1" s="1"/>
  <c r="AP389" i="1" s="1"/>
  <c r="AL389" i="1"/>
  <c r="F427" i="6"/>
  <c r="Z392" i="1"/>
  <c r="N396" i="1"/>
  <c r="R395" i="1"/>
  <c r="W394" i="1"/>
  <c r="Y394" i="1" s="1"/>
  <c r="AE390" i="1"/>
  <c r="AG390" i="1" s="1"/>
  <c r="EV397" i="1"/>
  <c r="AA392" i="1"/>
  <c r="AC392" i="1" s="1"/>
  <c r="AE391" i="1"/>
  <c r="AG391" i="1" s="1"/>
  <c r="AH391" i="1" s="1"/>
  <c r="O396" i="1"/>
  <c r="Q396" i="1" s="1"/>
  <c r="S395" i="1"/>
  <c r="U395" i="1" s="1"/>
  <c r="EW398" i="1"/>
  <c r="F398" i="1"/>
  <c r="B401" i="1"/>
  <c r="D400" i="1"/>
  <c r="J398" i="1"/>
  <c r="K398" i="1"/>
  <c r="M398" i="1" s="1"/>
  <c r="O398" i="1" s="1"/>
  <c r="AN399" i="1"/>
  <c r="BX399" i="1"/>
  <c r="CR399" i="1"/>
  <c r="P399" i="1"/>
  <c r="EB399" i="1"/>
  <c r="BP399" i="1"/>
  <c r="BT399" i="1"/>
  <c r="H399" i="1"/>
  <c r="DP399" i="1"/>
  <c r="CZ399" i="1"/>
  <c r="AV399" i="1"/>
  <c r="CV399" i="1"/>
  <c r="L399" i="1"/>
  <c r="CF399" i="1"/>
  <c r="AF399" i="1"/>
  <c r="AB399" i="1"/>
  <c r="DD399" i="1"/>
  <c r="DT399" i="1"/>
  <c r="DX399" i="1"/>
  <c r="CJ399" i="1"/>
  <c r="DH399" i="1"/>
  <c r="BL399" i="1"/>
  <c r="DL399" i="1"/>
  <c r="X399" i="1"/>
  <c r="AJ399" i="1"/>
  <c r="CN399" i="1"/>
  <c r="EF399" i="1"/>
  <c r="BH399" i="1"/>
  <c r="CB399" i="1"/>
  <c r="BD399" i="1"/>
  <c r="AR399" i="1"/>
  <c r="T399" i="1"/>
  <c r="AZ399" i="1"/>
  <c r="E399" i="1"/>
  <c r="EU399" i="1"/>
  <c r="AD390" i="1"/>
  <c r="V394" i="1"/>
  <c r="M397" i="1"/>
  <c r="AA393" i="1"/>
  <c r="AO385" i="1"/>
  <c r="AS386" i="1"/>
  <c r="AU386" i="1" s="1"/>
  <c r="AW386" i="1" s="1"/>
  <c r="AU379" i="1"/>
  <c r="AP376" i="1"/>
  <c r="AP380" i="1"/>
  <c r="AP375" i="1"/>
  <c r="AP383" i="1"/>
  <c r="AQ377" i="1"/>
  <c r="AS377" i="1" s="1"/>
  <c r="AQ387" i="1"/>
  <c r="AS387" i="1" s="1"/>
  <c r="AP388" i="1"/>
  <c r="AU381" i="1"/>
  <c r="AW381" i="1" s="1"/>
  <c r="AU384" i="1"/>
  <c r="AW384" i="1" s="1"/>
  <c r="AQ382" i="1"/>
  <c r="AS382" i="1" s="1"/>
  <c r="AT378" i="1"/>
  <c r="B235" i="1"/>
  <c r="G215" i="6"/>
  <c r="C216" i="6" s="1"/>
  <c r="F607" i="6"/>
  <c r="F438" i="7"/>
  <c r="F428" i="6"/>
  <c r="F608" i="6" l="1"/>
  <c r="F439" i="7"/>
  <c r="AQ389" i="1"/>
  <c r="AS389" i="1" s="1"/>
  <c r="AT389" i="1" s="1"/>
  <c r="AI390" i="1"/>
  <c r="AK390" i="1" s="1"/>
  <c r="Z394" i="1"/>
  <c r="AD392" i="1"/>
  <c r="EV398" i="1"/>
  <c r="AP385" i="1"/>
  <c r="V395" i="1"/>
  <c r="N397" i="1"/>
  <c r="R396" i="1"/>
  <c r="I406" i="6"/>
  <c r="C407" i="6" s="1"/>
  <c r="AE392" i="1"/>
  <c r="AG392" i="1" s="1"/>
  <c r="S396" i="1"/>
  <c r="U396" i="1" s="1"/>
  <c r="AI391" i="1"/>
  <c r="AK391" i="1" s="1"/>
  <c r="AL391" i="1" s="1"/>
  <c r="O397" i="1"/>
  <c r="Q397" i="1" s="1"/>
  <c r="AA394" i="1"/>
  <c r="AC394" i="1" s="1"/>
  <c r="AD394" i="1" s="1"/>
  <c r="DT400" i="1"/>
  <c r="CR400" i="1"/>
  <c r="AZ400" i="1"/>
  <c r="AJ400" i="1"/>
  <c r="DH400" i="1"/>
  <c r="BX400" i="1"/>
  <c r="P400" i="1"/>
  <c r="AN400" i="1"/>
  <c r="CN400" i="1"/>
  <c r="BT400" i="1"/>
  <c r="BD400" i="1"/>
  <c r="T400" i="1"/>
  <c r="EB400" i="1"/>
  <c r="DL400" i="1"/>
  <c r="DX400" i="1"/>
  <c r="X400" i="1"/>
  <c r="CZ400" i="1"/>
  <c r="CF400" i="1"/>
  <c r="AB400" i="1"/>
  <c r="EF400" i="1"/>
  <c r="BP400" i="1"/>
  <c r="AR400" i="1"/>
  <c r="BL400" i="1"/>
  <c r="AF400" i="1"/>
  <c r="CV400" i="1"/>
  <c r="H400" i="1"/>
  <c r="CJ400" i="1"/>
  <c r="EJ400" i="1"/>
  <c r="DD400" i="1"/>
  <c r="L400" i="1"/>
  <c r="CB400" i="1"/>
  <c r="DP400" i="1"/>
  <c r="BH400" i="1"/>
  <c r="AV400" i="1"/>
  <c r="E400" i="1"/>
  <c r="EU400" i="1"/>
  <c r="Q398" i="1"/>
  <c r="R398" i="1" s="1"/>
  <c r="B402" i="1"/>
  <c r="D401" i="1"/>
  <c r="EW399" i="1"/>
  <c r="F399" i="1"/>
  <c r="AC393" i="1"/>
  <c r="J399" i="1"/>
  <c r="K399" i="1"/>
  <c r="AH390" i="1"/>
  <c r="AQ385" i="1"/>
  <c r="AS385" i="1" s="1"/>
  <c r="AT385" i="1" s="1"/>
  <c r="N398" i="1"/>
  <c r="W395" i="1"/>
  <c r="AW379" i="1"/>
  <c r="AX379" i="1" s="1"/>
  <c r="AT386" i="1"/>
  <c r="AT387" i="1"/>
  <c r="AX381" i="1"/>
  <c r="AQ383" i="1"/>
  <c r="AS383" i="1" s="1"/>
  <c r="AQ380" i="1"/>
  <c r="AS380" i="1" s="1"/>
  <c r="AQ376" i="1"/>
  <c r="AS376" i="1" s="1"/>
  <c r="AT377" i="1"/>
  <c r="AX386" i="1"/>
  <c r="AT382" i="1"/>
  <c r="AU378" i="1"/>
  <c r="AW378" i="1" s="1"/>
  <c r="AX384" i="1"/>
  <c r="AQ388" i="1"/>
  <c r="AS388" i="1" s="1"/>
  <c r="B236" i="1"/>
  <c r="G216" i="6"/>
  <c r="C217" i="6" s="1"/>
  <c r="B470" i="6"/>
  <c r="B135" i="7"/>
  <c r="B594" i="6" l="1"/>
  <c r="B613" i="6"/>
  <c r="B612" i="6"/>
  <c r="C485" i="6"/>
  <c r="C488" i="6"/>
  <c r="C479" i="6"/>
  <c r="C476" i="6"/>
  <c r="AU389" i="1"/>
  <c r="AW389" i="1" s="1"/>
  <c r="AX389" i="1" s="1"/>
  <c r="EV399" i="1"/>
  <c r="V396" i="1"/>
  <c r="AM390" i="1"/>
  <c r="AO390" i="1" s="1"/>
  <c r="R397" i="1"/>
  <c r="AH392" i="1"/>
  <c r="AE393" i="1"/>
  <c r="AG393" i="1" s="1"/>
  <c r="D402" i="1"/>
  <c r="W396" i="1"/>
  <c r="Y396" i="1" s="1"/>
  <c r="Z396" i="1" s="1"/>
  <c r="S398" i="1"/>
  <c r="U398" i="1" s="1"/>
  <c r="V398" i="1" s="1"/>
  <c r="AM391" i="1"/>
  <c r="AE394" i="1"/>
  <c r="AG394" i="1" s="1"/>
  <c r="AH394" i="1" s="1"/>
  <c r="S397" i="1"/>
  <c r="U397" i="1" s="1"/>
  <c r="AL390" i="1"/>
  <c r="AI392" i="1"/>
  <c r="AK392" i="1" s="1"/>
  <c r="F400" i="1"/>
  <c r="EW400" i="1"/>
  <c r="M399" i="1"/>
  <c r="AD393" i="1"/>
  <c r="K400" i="1"/>
  <c r="J400" i="1"/>
  <c r="CV401" i="1"/>
  <c r="AV401" i="1"/>
  <c r="AJ401" i="1"/>
  <c r="DH401" i="1"/>
  <c r="BT401" i="1"/>
  <c r="EN401" i="1"/>
  <c r="DT401" i="1"/>
  <c r="CB401" i="1"/>
  <c r="BP401" i="1"/>
  <c r="AB401" i="1"/>
  <c r="AZ401" i="1"/>
  <c r="L401" i="1"/>
  <c r="EJ401" i="1"/>
  <c r="DP401" i="1"/>
  <c r="BL401" i="1"/>
  <c r="AF401" i="1"/>
  <c r="H401" i="1"/>
  <c r="DL401" i="1"/>
  <c r="X401" i="1"/>
  <c r="EF401" i="1"/>
  <c r="BX401" i="1"/>
  <c r="AR401" i="1"/>
  <c r="DD401" i="1"/>
  <c r="DX401" i="1"/>
  <c r="T401" i="1"/>
  <c r="CN401" i="1"/>
  <c r="CZ401" i="1"/>
  <c r="AN401" i="1"/>
  <c r="CR401" i="1"/>
  <c r="CJ401" i="1"/>
  <c r="EB401" i="1"/>
  <c r="P401" i="1"/>
  <c r="BD401" i="1"/>
  <c r="BH401" i="1"/>
  <c r="CF401" i="1"/>
  <c r="E401" i="1"/>
  <c r="EU401" i="1"/>
  <c r="Y395" i="1"/>
  <c r="AY379" i="1"/>
  <c r="BA379" i="1" s="1"/>
  <c r="BB379" i="1" s="1"/>
  <c r="AY384" i="1"/>
  <c r="AT380" i="1"/>
  <c r="AT383" i="1"/>
  <c r="AU385" i="1"/>
  <c r="AW385" i="1" s="1"/>
  <c r="AU377" i="1"/>
  <c r="AW377" i="1" s="1"/>
  <c r="AU382" i="1"/>
  <c r="AW382" i="1" s="1"/>
  <c r="AY386" i="1"/>
  <c r="BA386" i="1" s="1"/>
  <c r="AT376" i="1"/>
  <c r="AX378" i="1"/>
  <c r="AY381" i="1"/>
  <c r="BA381" i="1" s="1"/>
  <c r="AT388" i="1"/>
  <c r="AU387" i="1"/>
  <c r="AW387" i="1" s="1"/>
  <c r="B237" i="1"/>
  <c r="G217" i="6"/>
  <c r="C218" i="6" s="1"/>
  <c r="D403" i="1"/>
  <c r="D470" i="6"/>
  <c r="D135" i="7"/>
  <c r="D471" i="6" l="1"/>
  <c r="H402" i="1"/>
  <c r="D136" i="7"/>
  <c r="CB402" i="1"/>
  <c r="AR402" i="1"/>
  <c r="AJ402" i="1"/>
  <c r="BT402" i="1"/>
  <c r="CZ402" i="1"/>
  <c r="BD402" i="1"/>
  <c r="E402" i="1"/>
  <c r="AV402" i="1"/>
  <c r="CV402" i="1"/>
  <c r="L402" i="1"/>
  <c r="CF402" i="1"/>
  <c r="CJ402" i="1"/>
  <c r="AB402" i="1"/>
  <c r="DT402" i="1"/>
  <c r="BX402" i="1"/>
  <c r="T402" i="1"/>
  <c r="CR402" i="1"/>
  <c r="AZ402" i="1"/>
  <c r="EN402" i="1"/>
  <c r="DX402" i="1"/>
  <c r="EJ402" i="1"/>
  <c r="BP402" i="1"/>
  <c r="EF402" i="1"/>
  <c r="AN402" i="1"/>
  <c r="AQ390" i="1"/>
  <c r="AS390" i="1" s="1"/>
  <c r="P402" i="1"/>
  <c r="DH402" i="1"/>
  <c r="CN402" i="1"/>
  <c r="AH393" i="1"/>
  <c r="EB402" i="1"/>
  <c r="ER402" i="1"/>
  <c r="X402" i="1"/>
  <c r="DL402" i="1"/>
  <c r="N399" i="1"/>
  <c r="DP402" i="1"/>
  <c r="AA395" i="1"/>
  <c r="AC395" i="1" s="1"/>
  <c r="EU402" i="1"/>
  <c r="AF402" i="1"/>
  <c r="BL402" i="1"/>
  <c r="BH402" i="1"/>
  <c r="DD402" i="1"/>
  <c r="EV400" i="1"/>
  <c r="E433" i="6"/>
  <c r="I407" i="6"/>
  <c r="C408" i="6" s="1"/>
  <c r="W397" i="1"/>
  <c r="Y397" i="1" s="1"/>
  <c r="AO391" i="1"/>
  <c r="W398" i="1"/>
  <c r="Y398" i="1" s="1"/>
  <c r="Z398" i="1" s="1"/>
  <c r="AI393" i="1"/>
  <c r="AK393" i="1" s="1"/>
  <c r="AA396" i="1"/>
  <c r="AC396" i="1" s="1"/>
  <c r="AD396" i="1" s="1"/>
  <c r="J401" i="1"/>
  <c r="K401" i="1"/>
  <c r="AI394" i="1"/>
  <c r="O399" i="1"/>
  <c r="V397" i="1"/>
  <c r="M400" i="1"/>
  <c r="Z395" i="1"/>
  <c r="EW401" i="1"/>
  <c r="F401" i="1"/>
  <c r="AP390" i="1"/>
  <c r="AM392" i="1"/>
  <c r="AL392" i="1"/>
  <c r="AY389" i="1"/>
  <c r="BA389" i="1" s="1"/>
  <c r="BB389" i="1" s="1"/>
  <c r="BA384" i="1"/>
  <c r="BB384" i="1" s="1"/>
  <c r="AX387" i="1"/>
  <c r="BC379" i="1"/>
  <c r="BE379" i="1" s="1"/>
  <c r="AX377" i="1"/>
  <c r="AX382" i="1"/>
  <c r="BB381" i="1"/>
  <c r="AU383" i="1"/>
  <c r="AW383" i="1" s="1"/>
  <c r="BB386" i="1"/>
  <c r="AU380" i="1"/>
  <c r="AW380" i="1" s="1"/>
  <c r="AY378" i="1"/>
  <c r="BA378" i="1" s="1"/>
  <c r="AX385" i="1"/>
  <c r="AU388" i="1"/>
  <c r="AW388" i="1" s="1"/>
  <c r="B238" i="1"/>
  <c r="G218" i="6"/>
  <c r="C219" i="6" s="1"/>
  <c r="EU403" i="1"/>
  <c r="CJ403" i="1"/>
  <c r="T135" i="7"/>
  <c r="AJ403" i="1"/>
  <c r="AR403" i="1"/>
  <c r="E470" i="6"/>
  <c r="AF403" i="1"/>
  <c r="BP403" i="1"/>
  <c r="EN403" i="1"/>
  <c r="P403" i="1"/>
  <c r="E403" i="1"/>
  <c r="H135" i="7"/>
  <c r="BH403" i="1"/>
  <c r="G470" i="6"/>
  <c r="H403" i="1"/>
  <c r="EF403" i="1"/>
  <c r="DD403" i="1"/>
  <c r="P135" i="7"/>
  <c r="EJ403" i="1"/>
  <c r="DH403" i="1"/>
  <c r="DP403" i="1"/>
  <c r="AV403" i="1"/>
  <c r="J470" i="6"/>
  <c r="BD403" i="1"/>
  <c r="T403" i="1"/>
  <c r="CB403" i="1"/>
  <c r="DT403" i="1"/>
  <c r="BT403" i="1"/>
  <c r="AZ403" i="1"/>
  <c r="N470" i="6"/>
  <c r="AB403" i="1"/>
  <c r="E135" i="7"/>
  <c r="AN403" i="1"/>
  <c r="CZ403" i="1"/>
  <c r="DL403" i="1"/>
  <c r="DX403" i="1"/>
  <c r="CV403" i="1"/>
  <c r="L403" i="1"/>
  <c r="ER403" i="1"/>
  <c r="CN403" i="1"/>
  <c r="CF403" i="1"/>
  <c r="CR403" i="1"/>
  <c r="BX403" i="1"/>
  <c r="EB403" i="1"/>
  <c r="BL403" i="1"/>
  <c r="X403" i="1"/>
  <c r="L135" i="7"/>
  <c r="N471" i="6" l="1"/>
  <c r="J471" i="6"/>
  <c r="G489" i="6" s="1"/>
  <c r="E471" i="6"/>
  <c r="G471" i="6"/>
  <c r="G480" i="6" s="1"/>
  <c r="G422" i="1"/>
  <c r="E422" i="1"/>
  <c r="T136" i="7"/>
  <c r="P136" i="7"/>
  <c r="L136" i="7"/>
  <c r="H136" i="7"/>
  <c r="E136" i="7"/>
  <c r="K402" i="1"/>
  <c r="J402" i="1"/>
  <c r="EW402" i="1"/>
  <c r="F402" i="1"/>
  <c r="EV401" i="1"/>
  <c r="N400" i="1"/>
  <c r="AU390" i="1"/>
  <c r="AW390" i="1" s="1"/>
  <c r="AM393" i="1"/>
  <c r="AO393" i="1" s="1"/>
  <c r="AP393" i="1" s="1"/>
  <c r="Z397" i="1"/>
  <c r="AE395" i="1"/>
  <c r="AG395" i="1" s="1"/>
  <c r="AP391" i="1"/>
  <c r="AT390" i="1"/>
  <c r="AQ391" i="1"/>
  <c r="AA397" i="1"/>
  <c r="AC397" i="1" s="1"/>
  <c r="AE396" i="1"/>
  <c r="AG396" i="1" s="1"/>
  <c r="AH396" i="1" s="1"/>
  <c r="H404" i="1"/>
  <c r="AD395" i="1"/>
  <c r="M401" i="1"/>
  <c r="Q399" i="1"/>
  <c r="AK394" i="1"/>
  <c r="AO392" i="1"/>
  <c r="AA398" i="1"/>
  <c r="AL393" i="1"/>
  <c r="O400" i="1"/>
  <c r="BC384" i="1"/>
  <c r="BE384" i="1" s="1"/>
  <c r="BF384" i="1" s="1"/>
  <c r="BC386" i="1"/>
  <c r="AX388" i="1"/>
  <c r="AY385" i="1"/>
  <c r="BA385" i="1" s="1"/>
  <c r="BC381" i="1"/>
  <c r="BE381" i="1" s="1"/>
  <c r="AY382" i="1"/>
  <c r="BA382" i="1" s="1"/>
  <c r="BB378" i="1"/>
  <c r="BC389" i="1"/>
  <c r="BE389" i="1" s="1"/>
  <c r="AX383" i="1"/>
  <c r="BF379" i="1"/>
  <c r="AY387" i="1"/>
  <c r="BA387" i="1" s="1"/>
  <c r="B239" i="1"/>
  <c r="G219" i="6"/>
  <c r="C220" i="6" s="1"/>
  <c r="B107" i="4"/>
  <c r="EW403" i="1"/>
  <c r="I470" i="6"/>
  <c r="F470" i="6"/>
  <c r="J135" i="7"/>
  <c r="J403" i="1"/>
  <c r="P470" i="6"/>
  <c r="K135" i="7"/>
  <c r="F135" i="7"/>
  <c r="V135" i="7"/>
  <c r="P471" i="6" l="1"/>
  <c r="I471" i="6"/>
  <c r="G479" i="6" s="1"/>
  <c r="H137" i="7"/>
  <c r="G472" i="6"/>
  <c r="M402" i="1"/>
  <c r="EV402" i="1"/>
  <c r="E145" i="7"/>
  <c r="G145" i="7"/>
  <c r="J136" i="7"/>
  <c r="V136" i="7"/>
  <c r="AY390" i="1"/>
  <c r="BA390" i="1" s="1"/>
  <c r="BB390" i="1" s="1"/>
  <c r="AI395" i="1"/>
  <c r="AK395" i="1" s="1"/>
  <c r="N401" i="1"/>
  <c r="R399" i="1"/>
  <c r="AX390" i="1"/>
  <c r="AQ392" i="1"/>
  <c r="AS392" i="1" s="1"/>
  <c r="AU392" i="1" s="1"/>
  <c r="AL394" i="1"/>
  <c r="AD397" i="1"/>
  <c r="I408" i="6"/>
  <c r="C409" i="6" s="1"/>
  <c r="AE397" i="1"/>
  <c r="AG397" i="1" s="1"/>
  <c r="AS391" i="1"/>
  <c r="AQ393" i="1"/>
  <c r="AS393" i="1" s="1"/>
  <c r="AT393" i="1" s="1"/>
  <c r="O401" i="1"/>
  <c r="Q401" i="1" s="1"/>
  <c r="R401" i="1" s="1"/>
  <c r="S399" i="1"/>
  <c r="U399" i="1" s="1"/>
  <c r="AP392" i="1"/>
  <c r="AM394" i="1"/>
  <c r="Q400" i="1"/>
  <c r="AI396" i="1"/>
  <c r="AC398" i="1"/>
  <c r="AH395" i="1"/>
  <c r="BE386" i="1"/>
  <c r="BG386" i="1" s="1"/>
  <c r="BI386" i="1" s="1"/>
  <c r="BB387" i="1"/>
  <c r="BB385" i="1"/>
  <c r="BG384" i="1"/>
  <c r="BI384" i="1" s="1"/>
  <c r="AX380" i="1"/>
  <c r="BB382" i="1"/>
  <c r="AY380" i="1"/>
  <c r="BA380" i="1" s="1"/>
  <c r="AY383" i="1"/>
  <c r="BA383" i="1" s="1"/>
  <c r="BF389" i="1"/>
  <c r="BF381" i="1"/>
  <c r="AY388" i="1"/>
  <c r="BA388" i="1" s="1"/>
  <c r="B240" i="1"/>
  <c r="G220" i="6"/>
  <c r="C221" i="6" s="1"/>
  <c r="M135" i="7"/>
  <c r="M403" i="1"/>
  <c r="U135" i="7"/>
  <c r="K470" i="6"/>
  <c r="EV403" i="1"/>
  <c r="O470" i="6"/>
  <c r="N402" i="1" l="1"/>
  <c r="O471" i="6"/>
  <c r="K471" i="6"/>
  <c r="G490" i="6" s="1"/>
  <c r="O402" i="1"/>
  <c r="Q402" i="1" s="1"/>
  <c r="U136" i="7"/>
  <c r="I422" i="1"/>
  <c r="I145" i="7" s="1"/>
  <c r="EU404" i="1"/>
  <c r="M136" i="7"/>
  <c r="AT391" i="1"/>
  <c r="R400" i="1"/>
  <c r="AD398" i="1"/>
  <c r="V399" i="1"/>
  <c r="AM395" i="1"/>
  <c r="AO395" i="1" s="1"/>
  <c r="AP395" i="1" s="1"/>
  <c r="AH397" i="1"/>
  <c r="AU391" i="1"/>
  <c r="AW391" i="1" s="1"/>
  <c r="S401" i="1"/>
  <c r="U401" i="1" s="1"/>
  <c r="V401" i="1" s="1"/>
  <c r="AI397" i="1"/>
  <c r="AK397" i="1" s="1"/>
  <c r="AL397" i="1" s="1"/>
  <c r="W399" i="1"/>
  <c r="Y399" i="1" s="1"/>
  <c r="AE398" i="1"/>
  <c r="AG398" i="1" s="1"/>
  <c r="AU393" i="1"/>
  <c r="AW393" i="1" s="1"/>
  <c r="AK396" i="1"/>
  <c r="AW392" i="1"/>
  <c r="AY392" i="1" s="1"/>
  <c r="AO394" i="1"/>
  <c r="L404" i="1"/>
  <c r="AL395" i="1"/>
  <c r="AT392" i="1"/>
  <c r="S400" i="1"/>
  <c r="BF386" i="1"/>
  <c r="BB388" i="1"/>
  <c r="BC382" i="1"/>
  <c r="BE382" i="1" s="1"/>
  <c r="BC385" i="1"/>
  <c r="BE385" i="1" s="1"/>
  <c r="BJ384" i="1"/>
  <c r="BB383" i="1"/>
  <c r="BJ386" i="1"/>
  <c r="BC390" i="1"/>
  <c r="BE390" i="1" s="1"/>
  <c r="BG381" i="1"/>
  <c r="BI381" i="1" s="1"/>
  <c r="BG389" i="1"/>
  <c r="BI389" i="1" s="1"/>
  <c r="BC387" i="1"/>
  <c r="BE387" i="1" s="1"/>
  <c r="B241" i="1"/>
  <c r="G221" i="6"/>
  <c r="C222" i="6" s="1"/>
  <c r="N403" i="1"/>
  <c r="L470" i="6"/>
  <c r="Q135" i="7"/>
  <c r="N135" i="7"/>
  <c r="O135" i="7"/>
  <c r="Q403" i="1"/>
  <c r="N136" i="7" l="1"/>
  <c r="L471" i="6"/>
  <c r="G488" i="6" s="1"/>
  <c r="J472" i="6"/>
  <c r="T137" i="7"/>
  <c r="N472" i="6"/>
  <c r="L137" i="7"/>
  <c r="Q136" i="7"/>
  <c r="AH398" i="1"/>
  <c r="AA399" i="1"/>
  <c r="AC399" i="1" s="1"/>
  <c r="AQ394" i="1"/>
  <c r="AS394" i="1" s="1"/>
  <c r="AX391" i="1"/>
  <c r="AL396" i="1"/>
  <c r="S402" i="1"/>
  <c r="U402" i="1" s="1"/>
  <c r="V402" i="1" s="1"/>
  <c r="I409" i="6"/>
  <c r="C410" i="6" s="1"/>
  <c r="AY391" i="1"/>
  <c r="BA391" i="1" s="1"/>
  <c r="AX393" i="1"/>
  <c r="AY393" i="1"/>
  <c r="BA393" i="1" s="1"/>
  <c r="BB393" i="1" s="1"/>
  <c r="AM397" i="1"/>
  <c r="AO397" i="1" s="1"/>
  <c r="AP397" i="1" s="1"/>
  <c r="W401" i="1"/>
  <c r="Y401" i="1" s="1"/>
  <c r="Z401" i="1" s="1"/>
  <c r="AQ395" i="1"/>
  <c r="AS395" i="1" s="1"/>
  <c r="U400" i="1"/>
  <c r="AM396" i="1"/>
  <c r="AP394" i="1"/>
  <c r="R402" i="1"/>
  <c r="BA392" i="1"/>
  <c r="BB392" i="1" s="1"/>
  <c r="Z399" i="1"/>
  <c r="AI398" i="1"/>
  <c r="AX392" i="1"/>
  <c r="BJ389" i="1"/>
  <c r="BF387" i="1"/>
  <c r="BF385" i="1"/>
  <c r="BJ381" i="1"/>
  <c r="BC388" i="1"/>
  <c r="BE388" i="1" s="1"/>
  <c r="BB380" i="1"/>
  <c r="BC383" i="1"/>
  <c r="BE383" i="1" s="1"/>
  <c r="BF382" i="1"/>
  <c r="BF390" i="1"/>
  <c r="BK386" i="1"/>
  <c r="BM386" i="1" s="1"/>
  <c r="BK384" i="1"/>
  <c r="BM384" i="1" s="1"/>
  <c r="BC380" i="1"/>
  <c r="BE380" i="1" s="1"/>
  <c r="B242" i="1"/>
  <c r="H508" i="6"/>
  <c r="F197" i="6"/>
  <c r="F70" i="6"/>
  <c r="F313" i="7" s="1"/>
  <c r="G222" i="6"/>
  <c r="C223" i="6" s="1"/>
  <c r="R135" i="7"/>
  <c r="R403" i="1"/>
  <c r="U403" i="1"/>
  <c r="R136" i="7" l="1"/>
  <c r="W402" i="1"/>
  <c r="Y402" i="1" s="1"/>
  <c r="AA402" i="1" s="1"/>
  <c r="AC402" i="1" s="1"/>
  <c r="AU394" i="1"/>
  <c r="AW394" i="1" s="1"/>
  <c r="AD399" i="1"/>
  <c r="BB391" i="1"/>
  <c r="V400" i="1"/>
  <c r="BC391" i="1"/>
  <c r="BE391" i="1" s="1"/>
  <c r="AA401" i="1"/>
  <c r="AC401" i="1" s="1"/>
  <c r="AD401" i="1" s="1"/>
  <c r="BC393" i="1"/>
  <c r="BE393" i="1" s="1"/>
  <c r="BF393" i="1" s="1"/>
  <c r="T404" i="1"/>
  <c r="AT395" i="1"/>
  <c r="AU395" i="1"/>
  <c r="AW395" i="1" s="1"/>
  <c r="W400" i="1"/>
  <c r="Y400" i="1" s="1"/>
  <c r="AE399" i="1"/>
  <c r="AG399" i="1" s="1"/>
  <c r="AQ397" i="1"/>
  <c r="AK398" i="1"/>
  <c r="AT394" i="1"/>
  <c r="P404" i="1"/>
  <c r="AO396" i="1"/>
  <c r="BC392" i="1"/>
  <c r="BF383" i="1"/>
  <c r="BK381" i="1"/>
  <c r="BM381" i="1" s="1"/>
  <c r="BN384" i="1"/>
  <c r="BG382" i="1"/>
  <c r="BI382" i="1" s="1"/>
  <c r="BG387" i="1"/>
  <c r="BI387" i="1" s="1"/>
  <c r="BG390" i="1"/>
  <c r="BI390" i="1" s="1"/>
  <c r="BG385" i="1"/>
  <c r="BI385" i="1" s="1"/>
  <c r="BN386" i="1"/>
  <c r="BF388" i="1"/>
  <c r="BK389" i="1"/>
  <c r="BM389" i="1" s="1"/>
  <c r="B243" i="1"/>
  <c r="G223" i="6"/>
  <c r="C224" i="6" s="1"/>
  <c r="V403" i="1"/>
  <c r="Y403" i="1"/>
  <c r="P137" i="7" l="1"/>
  <c r="BF391" i="1"/>
  <c r="AH399" i="1"/>
  <c r="AQ396" i="1"/>
  <c r="AS396" i="1" s="1"/>
  <c r="Z400" i="1"/>
  <c r="AY394" i="1"/>
  <c r="BA394" i="1" s="1"/>
  <c r="I410" i="6"/>
  <c r="C411" i="6" s="1"/>
  <c r="AE401" i="1"/>
  <c r="AG401" i="1" s="1"/>
  <c r="AH401" i="1" s="1"/>
  <c r="BG393" i="1"/>
  <c r="BI393" i="1" s="1"/>
  <c r="BJ393" i="1" s="1"/>
  <c r="AX395" i="1"/>
  <c r="AY395" i="1"/>
  <c r="BA395" i="1" s="1"/>
  <c r="BB395" i="1" s="1"/>
  <c r="AI399" i="1"/>
  <c r="AK399" i="1" s="1"/>
  <c r="AA400" i="1"/>
  <c r="AC400" i="1" s="1"/>
  <c r="AE402" i="1"/>
  <c r="AD402" i="1"/>
  <c r="AL398" i="1"/>
  <c r="AS397" i="1"/>
  <c r="AT397" i="1" s="1"/>
  <c r="AX394" i="1"/>
  <c r="Z402" i="1"/>
  <c r="X404" i="1"/>
  <c r="BE392" i="1"/>
  <c r="AP396" i="1"/>
  <c r="AM398" i="1"/>
  <c r="BG388" i="1"/>
  <c r="BJ387" i="1"/>
  <c r="BN381" i="1"/>
  <c r="BJ382" i="1"/>
  <c r="BJ385" i="1"/>
  <c r="BF380" i="1"/>
  <c r="BN389" i="1"/>
  <c r="BO386" i="1"/>
  <c r="BQ386" i="1" s="1"/>
  <c r="BO384" i="1"/>
  <c r="BQ384" i="1" s="1"/>
  <c r="BG380" i="1"/>
  <c r="BI380" i="1" s="1"/>
  <c r="BJ390" i="1"/>
  <c r="BG391" i="1"/>
  <c r="BI391" i="1" s="1"/>
  <c r="BG383" i="1"/>
  <c r="BI383" i="1" s="1"/>
  <c r="B244" i="1"/>
  <c r="G224" i="6"/>
  <c r="C225" i="6" s="1"/>
  <c r="B112" i="1"/>
  <c r="B76" i="7" s="1"/>
  <c r="D56" i="1"/>
  <c r="AC403" i="1"/>
  <c r="Z403" i="1"/>
  <c r="B481" i="1" l="1"/>
  <c r="BC394" i="1"/>
  <c r="BE394" i="1" s="1"/>
  <c r="AD400" i="1"/>
  <c r="AL399" i="1"/>
  <c r="BF392" i="1"/>
  <c r="BK393" i="1"/>
  <c r="BM393" i="1" s="1"/>
  <c r="BN393" i="1" s="1"/>
  <c r="AM399" i="1"/>
  <c r="AO399" i="1" s="1"/>
  <c r="AP399" i="1" s="1"/>
  <c r="BG392" i="1"/>
  <c r="BI392" i="1" s="1"/>
  <c r="BJ392" i="1" s="1"/>
  <c r="AI401" i="1"/>
  <c r="AK401" i="1" s="1"/>
  <c r="AL401" i="1" s="1"/>
  <c r="AE400" i="1"/>
  <c r="AG400" i="1" s="1"/>
  <c r="AU397" i="1"/>
  <c r="AW397" i="1" s="1"/>
  <c r="AX397" i="1" s="1"/>
  <c r="BB394" i="1"/>
  <c r="AB404" i="1"/>
  <c r="AT396" i="1"/>
  <c r="B113" i="1"/>
  <c r="AO398" i="1"/>
  <c r="AU396" i="1"/>
  <c r="BC395" i="1"/>
  <c r="AG402" i="1"/>
  <c r="AI402" i="1" s="1"/>
  <c r="BI388" i="1"/>
  <c r="BK390" i="1"/>
  <c r="BM390" i="1" s="1"/>
  <c r="BJ380" i="1"/>
  <c r="BK385" i="1"/>
  <c r="BM385" i="1" s="1"/>
  <c r="BR384" i="1"/>
  <c r="BR386" i="1"/>
  <c r="BJ383" i="1"/>
  <c r="BO389" i="1"/>
  <c r="BQ389" i="1" s="1"/>
  <c r="BJ391" i="1"/>
  <c r="BK382" i="1"/>
  <c r="BM382" i="1" s="1"/>
  <c r="BK387" i="1"/>
  <c r="BM387" i="1" s="1"/>
  <c r="B245" i="1"/>
  <c r="G225" i="6"/>
  <c r="C226" i="6" s="1"/>
  <c r="AG403" i="1"/>
  <c r="AD403" i="1"/>
  <c r="B482" i="1" l="1"/>
  <c r="B77" i="7"/>
  <c r="BG394" i="1"/>
  <c r="BI394" i="1" s="1"/>
  <c r="BJ394" i="1" s="1"/>
  <c r="AQ398" i="1"/>
  <c r="AS398" i="1" s="1"/>
  <c r="BJ388" i="1"/>
  <c r="AH400" i="1"/>
  <c r="BF394" i="1"/>
  <c r="I411" i="6"/>
  <c r="C412" i="6" s="1"/>
  <c r="B114" i="1"/>
  <c r="BK392" i="1"/>
  <c r="BM392" i="1" s="1"/>
  <c r="BN392" i="1" s="1"/>
  <c r="AI400" i="1"/>
  <c r="AK400" i="1" s="1"/>
  <c r="AW396" i="1"/>
  <c r="AY397" i="1"/>
  <c r="AQ399" i="1"/>
  <c r="AP398" i="1"/>
  <c r="AK402" i="1"/>
  <c r="AM402" i="1" s="1"/>
  <c r="BE395" i="1"/>
  <c r="AH402" i="1"/>
  <c r="AF404" i="1"/>
  <c r="AM401" i="1"/>
  <c r="BK388" i="1"/>
  <c r="BM388" i="1" s="1"/>
  <c r="BN388" i="1" s="1"/>
  <c r="BN385" i="1"/>
  <c r="BO393" i="1"/>
  <c r="BQ393" i="1" s="1"/>
  <c r="BR389" i="1"/>
  <c r="BN387" i="1"/>
  <c r="BK391" i="1"/>
  <c r="BM391" i="1" s="1"/>
  <c r="BN390" i="1"/>
  <c r="BK383" i="1"/>
  <c r="BM383" i="1" s="1"/>
  <c r="BS386" i="1"/>
  <c r="BU386" i="1" s="1"/>
  <c r="BS384" i="1"/>
  <c r="BU384" i="1" s="1"/>
  <c r="B246" i="1"/>
  <c r="G226" i="6"/>
  <c r="C227" i="6" s="1"/>
  <c r="AH403" i="1"/>
  <c r="AK403" i="1"/>
  <c r="BK394" i="1" l="1"/>
  <c r="BM394" i="1" s="1"/>
  <c r="B115" i="1"/>
  <c r="B116" i="1" s="1"/>
  <c r="B117" i="1" s="1"/>
  <c r="B118" i="1" s="1"/>
  <c r="B119" i="1" s="1"/>
  <c r="B120" i="1" s="1"/>
  <c r="B121" i="1" s="1"/>
  <c r="B122" i="1" s="1"/>
  <c r="AY396" i="1"/>
  <c r="BA396" i="1" s="1"/>
  <c r="BG395" i="1"/>
  <c r="BI395" i="1" s="1"/>
  <c r="AU398" i="1"/>
  <c r="AW398" i="1" s="1"/>
  <c r="AL400" i="1"/>
  <c r="BO392" i="1"/>
  <c r="BQ392" i="1" s="1"/>
  <c r="BR392" i="1" s="1"/>
  <c r="AM400" i="1"/>
  <c r="AO400" i="1" s="1"/>
  <c r="AS399" i="1"/>
  <c r="BA397" i="1"/>
  <c r="BB397" i="1" s="1"/>
  <c r="AO401" i="1"/>
  <c r="AP401" i="1" s="1"/>
  <c r="BF395" i="1"/>
  <c r="AL402" i="1"/>
  <c r="AJ404" i="1"/>
  <c r="AO402" i="1"/>
  <c r="AQ402" i="1" s="1"/>
  <c r="AX396" i="1"/>
  <c r="AT398" i="1"/>
  <c r="BO388" i="1"/>
  <c r="BQ388" i="1" s="1"/>
  <c r="BR388" i="1" s="1"/>
  <c r="BV384" i="1"/>
  <c r="BV386" i="1"/>
  <c r="BS389" i="1"/>
  <c r="BU389" i="1" s="1"/>
  <c r="BN391" i="1"/>
  <c r="BO390" i="1"/>
  <c r="BQ390" i="1" s="1"/>
  <c r="BN383" i="1"/>
  <c r="BO385" i="1"/>
  <c r="BQ385" i="1" s="1"/>
  <c r="BN382" i="1"/>
  <c r="BR393" i="1"/>
  <c r="BO382" i="1"/>
  <c r="BQ382" i="1" s="1"/>
  <c r="BO387" i="1"/>
  <c r="BQ387" i="1" s="1"/>
  <c r="B247" i="1"/>
  <c r="G227" i="6"/>
  <c r="C228" i="6" s="1"/>
  <c r="D60" i="1"/>
  <c r="C61" i="1" s="1"/>
  <c r="AL403" i="1"/>
  <c r="AO403" i="1"/>
  <c r="B123" i="1" l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484" i="1"/>
  <c r="G494" i="1" s="1"/>
  <c r="BK395" i="1"/>
  <c r="BM395" i="1" s="1"/>
  <c r="BN394" i="1"/>
  <c r="AX398" i="1"/>
  <c r="AP400" i="1"/>
  <c r="BC396" i="1"/>
  <c r="BE396" i="1" s="1"/>
  <c r="AT399" i="1"/>
  <c r="I412" i="6"/>
  <c r="C413" i="6" s="1"/>
  <c r="BC397" i="1"/>
  <c r="BE397" i="1" s="1"/>
  <c r="BF397" i="1" s="1"/>
  <c r="AU399" i="1"/>
  <c r="AW399" i="1" s="1"/>
  <c r="AY398" i="1"/>
  <c r="BA398" i="1" s="1"/>
  <c r="AQ400" i="1"/>
  <c r="AS400" i="1" s="1"/>
  <c r="AQ401" i="1"/>
  <c r="AS401" i="1" s="1"/>
  <c r="AU401" i="1" s="1"/>
  <c r="BB396" i="1"/>
  <c r="AP402" i="1"/>
  <c r="AN404" i="1"/>
  <c r="AS402" i="1"/>
  <c r="AT402" i="1" s="1"/>
  <c r="BJ395" i="1"/>
  <c r="BO394" i="1"/>
  <c r="BQ394" i="1" s="1"/>
  <c r="BR394" i="1" s="1"/>
  <c r="BS388" i="1"/>
  <c r="BR382" i="1"/>
  <c r="BR385" i="1"/>
  <c r="BO391" i="1"/>
  <c r="BQ391" i="1" s="1"/>
  <c r="BS392" i="1"/>
  <c r="BU392" i="1" s="1"/>
  <c r="BV389" i="1"/>
  <c r="BO383" i="1"/>
  <c r="BQ383" i="1" s="1"/>
  <c r="BR390" i="1"/>
  <c r="BW386" i="1"/>
  <c r="BY386" i="1" s="1"/>
  <c r="BS393" i="1"/>
  <c r="BU393" i="1" s="1"/>
  <c r="BR387" i="1"/>
  <c r="BW384" i="1"/>
  <c r="BY384" i="1" s="1"/>
  <c r="B248" i="1"/>
  <c r="G228" i="6"/>
  <c r="C229" i="6" s="1"/>
  <c r="AP403" i="1"/>
  <c r="AS403" i="1"/>
  <c r="B101" i="7"/>
  <c r="BG396" i="1" l="1"/>
  <c r="AT400" i="1"/>
  <c r="BB398" i="1"/>
  <c r="BN395" i="1"/>
  <c r="BC398" i="1"/>
  <c r="BE398" i="1" s="1"/>
  <c r="BO395" i="1"/>
  <c r="BQ395" i="1" s="1"/>
  <c r="AU400" i="1"/>
  <c r="AW400" i="1" s="1"/>
  <c r="BG397" i="1"/>
  <c r="BI397" i="1" s="1"/>
  <c r="BJ397" i="1" s="1"/>
  <c r="AT401" i="1"/>
  <c r="AR404" i="1"/>
  <c r="AX399" i="1"/>
  <c r="AW401" i="1"/>
  <c r="AX401" i="1" s="1"/>
  <c r="BI396" i="1"/>
  <c r="BF396" i="1"/>
  <c r="AY399" i="1"/>
  <c r="BA399" i="1" s="1"/>
  <c r="AU402" i="1"/>
  <c r="BU388" i="1"/>
  <c r="BV388" i="1" s="1"/>
  <c r="BV393" i="1"/>
  <c r="BS387" i="1"/>
  <c r="BU387" i="1" s="1"/>
  <c r="BW389" i="1"/>
  <c r="BY389" i="1" s="1"/>
  <c r="BV392" i="1"/>
  <c r="BZ384" i="1"/>
  <c r="BS390" i="1"/>
  <c r="BU390" i="1" s="1"/>
  <c r="BR391" i="1"/>
  <c r="BZ386" i="1"/>
  <c r="BS394" i="1"/>
  <c r="BU394" i="1" s="1"/>
  <c r="BS385" i="1"/>
  <c r="BU385" i="1" s="1"/>
  <c r="B90" i="1"/>
  <c r="C90" i="1"/>
  <c r="D171" i="6" s="1"/>
  <c r="D180" i="6" s="1"/>
  <c r="C520" i="1"/>
  <c r="C417" i="7" s="1"/>
  <c r="B520" i="1"/>
  <c r="C248" i="1"/>
  <c r="C240" i="1"/>
  <c r="C232" i="1"/>
  <c r="C224" i="1"/>
  <c r="C216" i="1"/>
  <c r="D216" i="1" s="1"/>
  <c r="C246" i="1"/>
  <c r="C238" i="1"/>
  <c r="C230" i="1"/>
  <c r="C222" i="1"/>
  <c r="C245" i="1"/>
  <c r="C237" i="1"/>
  <c r="C229" i="1"/>
  <c r="C221" i="1"/>
  <c r="C247" i="1"/>
  <c r="D247" i="1" s="1"/>
  <c r="E247" i="1" s="1"/>
  <c r="C239" i="1"/>
  <c r="C231" i="1"/>
  <c r="C223" i="1"/>
  <c r="C244" i="1"/>
  <c r="C236" i="1"/>
  <c r="C228" i="1"/>
  <c r="C220" i="1"/>
  <c r="C243" i="1"/>
  <c r="C235" i="1"/>
  <c r="C227" i="1"/>
  <c r="C219" i="1"/>
  <c r="C242" i="1"/>
  <c r="C234" i="1"/>
  <c r="C226" i="1"/>
  <c r="C218" i="1"/>
  <c r="C241" i="1"/>
  <c r="C233" i="1"/>
  <c r="C225" i="1"/>
  <c r="C217" i="1"/>
  <c r="C214" i="1"/>
  <c r="C98" i="7" s="1"/>
  <c r="C213" i="1"/>
  <c r="C97" i="7" s="1"/>
  <c r="C215" i="1"/>
  <c r="C99" i="7" s="1"/>
  <c r="D540" i="6"/>
  <c r="L540" i="6" s="1"/>
  <c r="D532" i="6"/>
  <c r="L532" i="6" s="1"/>
  <c r="D524" i="6"/>
  <c r="L524" i="6" s="1"/>
  <c r="D516" i="6"/>
  <c r="D230" i="6"/>
  <c r="D222" i="6"/>
  <c r="D214" i="6"/>
  <c r="D206" i="6"/>
  <c r="D106" i="6"/>
  <c r="D98" i="6"/>
  <c r="D90" i="6"/>
  <c r="D82" i="6"/>
  <c r="D74" i="6"/>
  <c r="D317" i="7" s="1"/>
  <c r="D537" i="6"/>
  <c r="L537" i="6" s="1"/>
  <c r="D235" i="6"/>
  <c r="D219" i="6"/>
  <c r="D203" i="6"/>
  <c r="D95" i="6"/>
  <c r="D528" i="6"/>
  <c r="L528" i="6" s="1"/>
  <c r="D218" i="6"/>
  <c r="D78" i="6"/>
  <c r="D527" i="6"/>
  <c r="L527" i="6" s="1"/>
  <c r="D233" i="6"/>
  <c r="D217" i="6"/>
  <c r="D101" i="6"/>
  <c r="D85" i="6"/>
  <c r="D547" i="6"/>
  <c r="D539" i="6"/>
  <c r="L539" i="6" s="1"/>
  <c r="D531" i="6"/>
  <c r="L531" i="6" s="1"/>
  <c r="D523" i="6"/>
  <c r="D515" i="6"/>
  <c r="D229" i="6"/>
  <c r="D221" i="6"/>
  <c r="D213" i="6"/>
  <c r="D205" i="6"/>
  <c r="D200" i="6"/>
  <c r="D105" i="6"/>
  <c r="D97" i="6"/>
  <c r="D89" i="6"/>
  <c r="D81" i="6"/>
  <c r="D79" i="6"/>
  <c r="D520" i="6"/>
  <c r="D234" i="6"/>
  <c r="D102" i="6"/>
  <c r="D543" i="6"/>
  <c r="L543" i="6" s="1"/>
  <c r="D201" i="6"/>
  <c r="D73" i="6"/>
  <c r="D546" i="6"/>
  <c r="L546" i="6" s="1"/>
  <c r="D538" i="6"/>
  <c r="L538" i="6" s="1"/>
  <c r="D530" i="6"/>
  <c r="L530" i="6" s="1"/>
  <c r="D522" i="6"/>
  <c r="L522" i="6" s="1"/>
  <c r="D514" i="6"/>
  <c r="D228" i="6"/>
  <c r="D220" i="6"/>
  <c r="D212" i="6"/>
  <c r="D204" i="6"/>
  <c r="D104" i="6"/>
  <c r="D96" i="6"/>
  <c r="D88" i="6"/>
  <c r="D80" i="6"/>
  <c r="D545" i="6"/>
  <c r="L545" i="6" s="1"/>
  <c r="D529" i="6"/>
  <c r="L529" i="6" s="1"/>
  <c r="D521" i="6"/>
  <c r="D227" i="6"/>
  <c r="D211" i="6"/>
  <c r="D103" i="6"/>
  <c r="D87" i="6"/>
  <c r="D536" i="6"/>
  <c r="L536" i="6" s="1"/>
  <c r="D210" i="6"/>
  <c r="D86" i="6"/>
  <c r="D535" i="6"/>
  <c r="L535" i="6" s="1"/>
  <c r="D542" i="6"/>
  <c r="L542" i="6" s="1"/>
  <c r="D534" i="6"/>
  <c r="L534" i="6" s="1"/>
  <c r="D526" i="6"/>
  <c r="L526" i="6" s="1"/>
  <c r="D518" i="6"/>
  <c r="D232" i="6"/>
  <c r="D224" i="6"/>
  <c r="D216" i="6"/>
  <c r="D208" i="6"/>
  <c r="D108" i="6"/>
  <c r="D100" i="6"/>
  <c r="D92" i="6"/>
  <c r="D84" i="6"/>
  <c r="D76" i="6"/>
  <c r="D541" i="6"/>
  <c r="L541" i="6" s="1"/>
  <c r="D533" i="6"/>
  <c r="L533" i="6" s="1"/>
  <c r="D525" i="6"/>
  <c r="L525" i="6" s="1"/>
  <c r="D517" i="6"/>
  <c r="D512" i="6"/>
  <c r="D231" i="6"/>
  <c r="D223" i="6"/>
  <c r="D215" i="6"/>
  <c r="D207" i="6"/>
  <c r="D107" i="6"/>
  <c r="D99" i="6"/>
  <c r="D91" i="6"/>
  <c r="D83" i="6"/>
  <c r="D75" i="6"/>
  <c r="D318" i="7" s="1"/>
  <c r="D544" i="6"/>
  <c r="L544" i="6" s="1"/>
  <c r="D226" i="6"/>
  <c r="D202" i="6"/>
  <c r="D94" i="6"/>
  <c r="D519" i="6"/>
  <c r="D225" i="6"/>
  <c r="D209" i="6"/>
  <c r="D93" i="6"/>
  <c r="D77" i="6"/>
  <c r="G229" i="6"/>
  <c r="C230" i="6" s="1"/>
  <c r="C126" i="1"/>
  <c r="D126" i="1" s="1"/>
  <c r="G126" i="1" s="1"/>
  <c r="H126" i="1" s="1"/>
  <c r="C146" i="1"/>
  <c r="C138" i="1"/>
  <c r="C130" i="1"/>
  <c r="C145" i="1"/>
  <c r="C137" i="1"/>
  <c r="D137" i="1" s="1"/>
  <c r="C129" i="1"/>
  <c r="C144" i="1"/>
  <c r="C136" i="1"/>
  <c r="D136" i="1" s="1"/>
  <c r="G136" i="1" s="1"/>
  <c r="H136" i="1" s="1"/>
  <c r="C128" i="1"/>
  <c r="C143" i="1"/>
  <c r="C127" i="1"/>
  <c r="C142" i="1"/>
  <c r="C134" i="1"/>
  <c r="C141" i="1"/>
  <c r="C133" i="1"/>
  <c r="C140" i="1"/>
  <c r="C132" i="1"/>
  <c r="C139" i="1"/>
  <c r="C131" i="1"/>
  <c r="C135" i="1"/>
  <c r="B138" i="1"/>
  <c r="C123" i="1"/>
  <c r="C125" i="1"/>
  <c r="C124" i="1"/>
  <c r="C122" i="1"/>
  <c r="C484" i="1" s="1"/>
  <c r="C111" i="1"/>
  <c r="C359" i="6" s="1"/>
  <c r="C118" i="1"/>
  <c r="C120" i="1"/>
  <c r="C119" i="1"/>
  <c r="C117" i="1"/>
  <c r="C116" i="1"/>
  <c r="C115" i="1"/>
  <c r="C114" i="1"/>
  <c r="C121" i="1"/>
  <c r="C113" i="1"/>
  <c r="C363" i="6" s="1"/>
  <c r="C112" i="1"/>
  <c r="C361" i="6" s="1"/>
  <c r="D452" i="7"/>
  <c r="D548" i="6"/>
  <c r="C366" i="6"/>
  <c r="D320" i="7"/>
  <c r="C326" i="6"/>
  <c r="D631" i="6"/>
  <c r="D109" i="6"/>
  <c r="C147" i="1"/>
  <c r="D236" i="6"/>
  <c r="C79" i="7"/>
  <c r="C249" i="1"/>
  <c r="C486" i="1"/>
  <c r="C101" i="7"/>
  <c r="AT403" i="1"/>
  <c r="D60" i="6" l="1"/>
  <c r="C368" i="6"/>
  <c r="D632" i="6"/>
  <c r="D448" i="7"/>
  <c r="D627" i="6"/>
  <c r="D450" i="7"/>
  <c r="D629" i="6"/>
  <c r="B171" i="7"/>
  <c r="B417" i="7"/>
  <c r="D453" i="7"/>
  <c r="C482" i="1"/>
  <c r="C77" i="7"/>
  <c r="C481" i="1"/>
  <c r="C76" i="7"/>
  <c r="C480" i="1"/>
  <c r="C75" i="7"/>
  <c r="CA247" i="1"/>
  <c r="F247" i="1"/>
  <c r="C102" i="7"/>
  <c r="C80" i="7"/>
  <c r="C487" i="1"/>
  <c r="D388" i="6"/>
  <c r="D304" i="7"/>
  <c r="C163" i="7"/>
  <c r="C56" i="7"/>
  <c r="D316" i="7"/>
  <c r="BR395" i="1"/>
  <c r="BK396" i="1"/>
  <c r="BM396" i="1" s="1"/>
  <c r="BF398" i="1"/>
  <c r="D248" i="1"/>
  <c r="L547" i="6"/>
  <c r="C323" i="6"/>
  <c r="H339" i="6" s="1"/>
  <c r="C322" i="6"/>
  <c r="H332" i="6" s="1"/>
  <c r="C324" i="6"/>
  <c r="C171" i="7"/>
  <c r="C443" i="6"/>
  <c r="I413" i="6"/>
  <c r="C414" i="6" s="1"/>
  <c r="C414" i="1"/>
  <c r="BS395" i="1"/>
  <c r="BU395" i="1" s="1"/>
  <c r="BV395" i="1" s="1"/>
  <c r="AX400" i="1"/>
  <c r="AY400" i="1"/>
  <c r="BA400" i="1" s="1"/>
  <c r="BK397" i="1"/>
  <c r="BM397" i="1" s="1"/>
  <c r="BN397" i="1" s="1"/>
  <c r="AW402" i="1"/>
  <c r="BJ396" i="1"/>
  <c r="BC399" i="1"/>
  <c r="BB399" i="1"/>
  <c r="BG398" i="1"/>
  <c r="AY401" i="1"/>
  <c r="BA401" i="1" s="1"/>
  <c r="BW388" i="1"/>
  <c r="BY388" i="1" s="1"/>
  <c r="BZ388" i="1" s="1"/>
  <c r="D111" i="1"/>
  <c r="D359" i="6" s="1"/>
  <c r="C563" i="6"/>
  <c r="D321" i="7"/>
  <c r="D214" i="1"/>
  <c r="D98" i="7" s="1"/>
  <c r="D215" i="1"/>
  <c r="D99" i="7" s="1"/>
  <c r="L514" i="6"/>
  <c r="BS391" i="1"/>
  <c r="BW392" i="1"/>
  <c r="BY392" i="1" s="1"/>
  <c r="BV394" i="1"/>
  <c r="BZ389" i="1"/>
  <c r="BV390" i="1"/>
  <c r="BV387" i="1"/>
  <c r="BR383" i="1"/>
  <c r="BV385" i="1"/>
  <c r="CA386" i="1"/>
  <c r="CC386" i="1" s="1"/>
  <c r="BS383" i="1"/>
  <c r="BU383" i="1" s="1"/>
  <c r="BW393" i="1"/>
  <c r="BY393" i="1" s="1"/>
  <c r="C249" i="6"/>
  <c r="C122" i="6"/>
  <c r="D70" i="6"/>
  <c r="D313" i="7" s="1"/>
  <c r="C259" i="1"/>
  <c r="C157" i="1"/>
  <c r="L523" i="6"/>
  <c r="D107" i="4"/>
  <c r="D213" i="1"/>
  <c r="D97" i="7" s="1"/>
  <c r="G247" i="1"/>
  <c r="H247" i="1" s="1"/>
  <c r="I247" i="1" s="1"/>
  <c r="D226" i="1"/>
  <c r="E226" i="1" s="1"/>
  <c r="D228" i="1"/>
  <c r="E228" i="1" s="1"/>
  <c r="D229" i="1"/>
  <c r="E229" i="1" s="1"/>
  <c r="D224" i="1"/>
  <c r="D225" i="1"/>
  <c r="E225" i="1" s="1"/>
  <c r="D235" i="1"/>
  <c r="E235" i="1" s="1"/>
  <c r="D241" i="1"/>
  <c r="E241" i="1" s="1"/>
  <c r="D246" i="1"/>
  <c r="E216" i="1"/>
  <c r="G216" i="1"/>
  <c r="D234" i="1"/>
  <c r="E234" i="1" s="1"/>
  <c r="D236" i="1"/>
  <c r="E236" i="1" s="1"/>
  <c r="D237" i="1"/>
  <c r="E237" i="1" s="1"/>
  <c r="D232" i="1"/>
  <c r="E232" i="1" s="1"/>
  <c r="D231" i="1"/>
  <c r="E231" i="1" s="1"/>
  <c r="D233" i="1"/>
  <c r="E233" i="1" s="1"/>
  <c r="D238" i="1"/>
  <c r="E238" i="1" s="1"/>
  <c r="D218" i="1"/>
  <c r="D220" i="1"/>
  <c r="D242" i="1"/>
  <c r="D244" i="1"/>
  <c r="E244" i="1" s="1"/>
  <c r="D245" i="1"/>
  <c r="E245" i="1" s="1"/>
  <c r="D240" i="1"/>
  <c r="E240" i="1" s="1"/>
  <c r="D227" i="1"/>
  <c r="D230" i="1"/>
  <c r="E230" i="1" s="1"/>
  <c r="D239" i="1"/>
  <c r="E239" i="1" s="1"/>
  <c r="D243" i="1"/>
  <c r="E243" i="1" s="1"/>
  <c r="D221" i="1"/>
  <c r="D217" i="1"/>
  <c r="E217" i="1" s="1"/>
  <c r="D219" i="1"/>
  <c r="D223" i="1"/>
  <c r="E223" i="1" s="1"/>
  <c r="D222" i="1"/>
  <c r="E136" i="1"/>
  <c r="F136" i="1" s="1"/>
  <c r="D508" i="6"/>
  <c r="D197" i="6"/>
  <c r="E90" i="1"/>
  <c r="F171" i="6" s="1"/>
  <c r="F180" i="6" s="1"/>
  <c r="L517" i="6"/>
  <c r="L520" i="6"/>
  <c r="L516" i="6"/>
  <c r="L519" i="6"/>
  <c r="L521" i="6"/>
  <c r="H512" i="6"/>
  <c r="L512" i="6"/>
  <c r="M512" i="6" s="1"/>
  <c r="K513" i="6" s="1"/>
  <c r="L513" i="6"/>
  <c r="F73" i="6"/>
  <c r="L518" i="6"/>
  <c r="L515" i="6"/>
  <c r="G230" i="6"/>
  <c r="C231" i="6" s="1"/>
  <c r="D133" i="1"/>
  <c r="G133" i="1" s="1"/>
  <c r="H133" i="1" s="1"/>
  <c r="D134" i="1"/>
  <c r="G134" i="1" s="1"/>
  <c r="H134" i="1" s="1"/>
  <c r="D135" i="1"/>
  <c r="G135" i="1" s="1"/>
  <c r="H135" i="1" s="1"/>
  <c r="D129" i="1"/>
  <c r="G129" i="1" s="1"/>
  <c r="H129" i="1" s="1"/>
  <c r="D131" i="1"/>
  <c r="G131" i="1" s="1"/>
  <c r="H131" i="1" s="1"/>
  <c r="D127" i="1"/>
  <c r="G127" i="1" s="1"/>
  <c r="H127" i="1" s="1"/>
  <c r="D130" i="1"/>
  <c r="G130" i="1" s="1"/>
  <c r="H130" i="1" s="1"/>
  <c r="D132" i="1"/>
  <c r="G132" i="1" s="1"/>
  <c r="H132" i="1" s="1"/>
  <c r="D128" i="1"/>
  <c r="G128" i="1" s="1"/>
  <c r="H128" i="1" s="1"/>
  <c r="G137" i="1"/>
  <c r="H137" i="1" s="1"/>
  <c r="E137" i="1"/>
  <c r="D138" i="1"/>
  <c r="B139" i="1"/>
  <c r="E126" i="1"/>
  <c r="D125" i="1"/>
  <c r="C161" i="4" s="1"/>
  <c r="D123" i="1"/>
  <c r="G123" i="1" s="1"/>
  <c r="H123" i="1" s="1"/>
  <c r="D124" i="1"/>
  <c r="G124" i="1" s="1"/>
  <c r="H124" i="1" s="1"/>
  <c r="D116" i="1"/>
  <c r="G116" i="1" s="1"/>
  <c r="H116" i="1" s="1"/>
  <c r="D119" i="1"/>
  <c r="G119" i="1" s="1"/>
  <c r="H119" i="1" s="1"/>
  <c r="D112" i="1"/>
  <c r="D361" i="6" s="1"/>
  <c r="D122" i="1"/>
  <c r="D484" i="1" s="1"/>
  <c r="C494" i="1" s="1"/>
  <c r="D117" i="1"/>
  <c r="G117" i="1" s="1"/>
  <c r="H117" i="1" s="1"/>
  <c r="D120" i="1"/>
  <c r="G120" i="1" s="1"/>
  <c r="H120" i="1" s="1"/>
  <c r="D113" i="1"/>
  <c r="D363" i="6" s="1"/>
  <c r="D118" i="1"/>
  <c r="G118" i="1" s="1"/>
  <c r="H118" i="1" s="1"/>
  <c r="D121" i="1"/>
  <c r="G121" i="1" s="1"/>
  <c r="H121" i="1" s="1"/>
  <c r="D114" i="1"/>
  <c r="G114" i="1" s="1"/>
  <c r="H114" i="1" s="1"/>
  <c r="D115" i="1"/>
  <c r="G115" i="1" s="1"/>
  <c r="H115" i="1" s="1"/>
  <c r="D101" i="7"/>
  <c r="D249" i="1"/>
  <c r="AW403" i="1"/>
  <c r="E231" i="6" l="1"/>
  <c r="E230" i="6"/>
  <c r="E221" i="6"/>
  <c r="E207" i="6"/>
  <c r="E224" i="6"/>
  <c r="E208" i="6"/>
  <c r="E220" i="6"/>
  <c r="E227" i="6"/>
  <c r="E226" i="6"/>
  <c r="E213" i="6"/>
  <c r="E209" i="6"/>
  <c r="E232" i="6"/>
  <c r="E216" i="6"/>
  <c r="E218" i="6"/>
  <c r="E214" i="6"/>
  <c r="E211" i="6"/>
  <c r="E210" i="6"/>
  <c r="E212" i="6"/>
  <c r="E229" i="6"/>
  <c r="E203" i="6"/>
  <c r="E206" i="6"/>
  <c r="E200" i="6"/>
  <c r="E225" i="6"/>
  <c r="E234" i="6"/>
  <c r="E202" i="6"/>
  <c r="E235" i="6"/>
  <c r="E217" i="6"/>
  <c r="E205" i="6"/>
  <c r="E223" i="6"/>
  <c r="E222" i="6"/>
  <c r="E201" i="6"/>
  <c r="E219" i="6"/>
  <c r="E228" i="6"/>
  <c r="E204" i="6"/>
  <c r="E215" i="6"/>
  <c r="E233" i="6"/>
  <c r="F60" i="6"/>
  <c r="H448" i="7"/>
  <c r="H627" i="6"/>
  <c r="D481" i="1"/>
  <c r="D76" i="7"/>
  <c r="D480" i="1"/>
  <c r="D75" i="7"/>
  <c r="D482" i="1"/>
  <c r="D77" i="7"/>
  <c r="CA225" i="1"/>
  <c r="F225" i="1"/>
  <c r="CA243" i="1"/>
  <c r="F243" i="1"/>
  <c r="CA229" i="1"/>
  <c r="F229" i="1"/>
  <c r="G248" i="1"/>
  <c r="CA239" i="1"/>
  <c r="F239" i="1"/>
  <c r="CA228" i="1"/>
  <c r="F228" i="1"/>
  <c r="CA217" i="1"/>
  <c r="F217" i="1"/>
  <c r="CA236" i="1"/>
  <c r="F236" i="1"/>
  <c r="CA226" i="1"/>
  <c r="F226" i="1"/>
  <c r="CA233" i="1"/>
  <c r="F233" i="1"/>
  <c r="CA244" i="1"/>
  <c r="F244" i="1"/>
  <c r="CA234" i="1"/>
  <c r="F234" i="1"/>
  <c r="CA238" i="1"/>
  <c r="F238" i="1"/>
  <c r="CA216" i="1"/>
  <c r="F216" i="1"/>
  <c r="CA223" i="1"/>
  <c r="F223" i="1"/>
  <c r="CA240" i="1"/>
  <c r="F240" i="1"/>
  <c r="CA231" i="1"/>
  <c r="F231" i="1"/>
  <c r="CA241" i="1"/>
  <c r="F241" i="1"/>
  <c r="CA237" i="1"/>
  <c r="F237" i="1"/>
  <c r="CA230" i="1"/>
  <c r="F230" i="1"/>
  <c r="CA245" i="1"/>
  <c r="F245" i="1"/>
  <c r="CA232" i="1"/>
  <c r="F232" i="1"/>
  <c r="CA235" i="1"/>
  <c r="F235" i="1"/>
  <c r="D102" i="7"/>
  <c r="C113" i="4"/>
  <c r="K107" i="4"/>
  <c r="C186" i="4"/>
  <c r="G186" i="4"/>
  <c r="G205" i="4" s="1"/>
  <c r="G167" i="4"/>
  <c r="D161" i="4"/>
  <c r="F161" i="4" s="1"/>
  <c r="G388" i="6"/>
  <c r="F304" i="7"/>
  <c r="E163" i="7"/>
  <c r="G125" i="1"/>
  <c r="H125" i="1" s="1"/>
  <c r="E248" i="1"/>
  <c r="F316" i="7"/>
  <c r="BO396" i="1"/>
  <c r="BQ396" i="1" s="1"/>
  <c r="AX402" i="1"/>
  <c r="BB400" i="1"/>
  <c r="F384" i="7"/>
  <c r="C362" i="7"/>
  <c r="C327" i="6"/>
  <c r="D323" i="6"/>
  <c r="D324" i="6"/>
  <c r="D322" i="6"/>
  <c r="E56" i="7"/>
  <c r="E414" i="1"/>
  <c r="C404" i="1" s="1"/>
  <c r="E213" i="1"/>
  <c r="E215" i="1"/>
  <c r="E214" i="1"/>
  <c r="AY402" i="1"/>
  <c r="BA402" i="1" s="1"/>
  <c r="BC400" i="1"/>
  <c r="BE400" i="1" s="1"/>
  <c r="BN396" i="1"/>
  <c r="BC401" i="1"/>
  <c r="BB401" i="1"/>
  <c r="BI398" i="1"/>
  <c r="AV404" i="1"/>
  <c r="BE399" i="1"/>
  <c r="BO397" i="1"/>
  <c r="G214" i="1"/>
  <c r="D486" i="4" s="1"/>
  <c r="D240" i="6"/>
  <c r="G215" i="1"/>
  <c r="G99" i="7" s="1"/>
  <c r="D113" i="6"/>
  <c r="D553" i="6"/>
  <c r="G73" i="6"/>
  <c r="G316" i="7" s="1"/>
  <c r="I512" i="6"/>
  <c r="K121" i="4"/>
  <c r="K124" i="4"/>
  <c r="K127" i="4"/>
  <c r="C255" i="6"/>
  <c r="BU391" i="1"/>
  <c r="BW394" i="1"/>
  <c r="BW390" i="1"/>
  <c r="CD386" i="1"/>
  <c r="CA388" i="1"/>
  <c r="CC388" i="1" s="1"/>
  <c r="BZ393" i="1"/>
  <c r="BW385" i="1"/>
  <c r="BY385" i="1" s="1"/>
  <c r="BW395" i="1"/>
  <c r="BY395" i="1" s="1"/>
  <c r="BW387" i="1"/>
  <c r="BY387" i="1" s="1"/>
  <c r="BZ392" i="1"/>
  <c r="BV383" i="1"/>
  <c r="CA389" i="1"/>
  <c r="CC389" i="1" s="1"/>
  <c r="D249" i="6"/>
  <c r="D122" i="6"/>
  <c r="E259" i="1"/>
  <c r="E157" i="1"/>
  <c r="F278" i="6"/>
  <c r="E107" i="4"/>
  <c r="E218" i="1"/>
  <c r="E220" i="1"/>
  <c r="E219" i="1"/>
  <c r="I136" i="1"/>
  <c r="J136" i="1" s="1"/>
  <c r="G213" i="1"/>
  <c r="G97" i="7" s="1"/>
  <c r="G227" i="1"/>
  <c r="H227" i="1" s="1"/>
  <c r="I227" i="1" s="1"/>
  <c r="G246" i="1"/>
  <c r="H246" i="1" s="1"/>
  <c r="I246" i="1" s="1"/>
  <c r="J246" i="1" s="1"/>
  <c r="K246" i="1" s="1"/>
  <c r="G241" i="1"/>
  <c r="H241" i="1" s="1"/>
  <c r="I241" i="1" s="1"/>
  <c r="G221" i="1"/>
  <c r="H221" i="1" s="1"/>
  <c r="I221" i="1" s="1"/>
  <c r="J221" i="1" s="1"/>
  <c r="K221" i="1" s="1"/>
  <c r="G242" i="1"/>
  <c r="H242" i="1" s="1"/>
  <c r="I242" i="1" s="1"/>
  <c r="G224" i="1"/>
  <c r="G233" i="1"/>
  <c r="G243" i="1"/>
  <c r="H243" i="1" s="1"/>
  <c r="I243" i="1" s="1"/>
  <c r="J243" i="1" s="1"/>
  <c r="K243" i="1" s="1"/>
  <c r="G220" i="1"/>
  <c r="H220" i="1" s="1"/>
  <c r="G231" i="1"/>
  <c r="G234" i="1"/>
  <c r="H234" i="1" s="1"/>
  <c r="I234" i="1" s="1"/>
  <c r="G219" i="1"/>
  <c r="H219" i="1" s="1"/>
  <c r="G239" i="1"/>
  <c r="G245" i="1"/>
  <c r="H245" i="1" s="1"/>
  <c r="I245" i="1" s="1"/>
  <c r="J245" i="1" s="1"/>
  <c r="K245" i="1" s="1"/>
  <c r="G218" i="1"/>
  <c r="H218" i="1" s="1"/>
  <c r="G235" i="1"/>
  <c r="G228" i="1"/>
  <c r="H228" i="1" s="1"/>
  <c r="I228" i="1" s="1"/>
  <c r="J228" i="1" s="1"/>
  <c r="K228" i="1" s="1"/>
  <c r="G232" i="1"/>
  <c r="H232" i="1" s="1"/>
  <c r="I232" i="1" s="1"/>
  <c r="J232" i="1" s="1"/>
  <c r="K232" i="1" s="1"/>
  <c r="H216" i="1"/>
  <c r="I216" i="1" s="1"/>
  <c r="J216" i="1" s="1"/>
  <c r="K216" i="1" s="1"/>
  <c r="G217" i="1"/>
  <c r="G230" i="1"/>
  <c r="H230" i="1" s="1"/>
  <c r="I230" i="1" s="1"/>
  <c r="J230" i="1" s="1"/>
  <c r="K230" i="1" s="1"/>
  <c r="G244" i="1"/>
  <c r="H244" i="1" s="1"/>
  <c r="I244" i="1" s="1"/>
  <c r="J244" i="1" s="1"/>
  <c r="K244" i="1" s="1"/>
  <c r="G225" i="1"/>
  <c r="G226" i="1"/>
  <c r="H226" i="1" s="1"/>
  <c r="I226" i="1" s="1"/>
  <c r="G222" i="1"/>
  <c r="G236" i="1"/>
  <c r="H236" i="1" s="1"/>
  <c r="I236" i="1" s="1"/>
  <c r="J236" i="1" s="1"/>
  <c r="K236" i="1" s="1"/>
  <c r="G223" i="1"/>
  <c r="H223" i="1" s="1"/>
  <c r="I223" i="1" s="1"/>
  <c r="J223" i="1" s="1"/>
  <c r="K223" i="1" s="1"/>
  <c r="G240" i="1"/>
  <c r="G229" i="1"/>
  <c r="H229" i="1" s="1"/>
  <c r="I229" i="1" s="1"/>
  <c r="E222" i="1"/>
  <c r="E221" i="1"/>
  <c r="E227" i="1"/>
  <c r="E242" i="1"/>
  <c r="G238" i="1"/>
  <c r="H238" i="1" s="1"/>
  <c r="I238" i="1" s="1"/>
  <c r="J238" i="1" s="1"/>
  <c r="K238" i="1" s="1"/>
  <c r="G237" i="1"/>
  <c r="H237" i="1" s="1"/>
  <c r="I237" i="1" s="1"/>
  <c r="J237" i="1" s="1"/>
  <c r="K237" i="1" s="1"/>
  <c r="E246" i="1"/>
  <c r="E224" i="1"/>
  <c r="J247" i="1"/>
  <c r="K247" i="1" s="1"/>
  <c r="M513" i="6"/>
  <c r="K514" i="6" s="1"/>
  <c r="E513" i="6"/>
  <c r="E70" i="6"/>
  <c r="E313" i="7" s="1"/>
  <c r="E197" i="6"/>
  <c r="G508" i="6"/>
  <c r="G231" i="6"/>
  <c r="C232" i="6" s="1"/>
  <c r="E135" i="1"/>
  <c r="F135" i="1" s="1"/>
  <c r="E132" i="1"/>
  <c r="F132" i="1" s="1"/>
  <c r="E130" i="1"/>
  <c r="I130" i="1" s="1"/>
  <c r="J130" i="1" s="1"/>
  <c r="E134" i="1"/>
  <c r="F134" i="1" s="1"/>
  <c r="E129" i="1"/>
  <c r="I129" i="1" s="1"/>
  <c r="J129" i="1" s="1"/>
  <c r="E127" i="1"/>
  <c r="E128" i="1"/>
  <c r="E131" i="1"/>
  <c r="E133" i="1"/>
  <c r="E138" i="1"/>
  <c r="G138" i="1"/>
  <c r="H138" i="1" s="1"/>
  <c r="B140" i="1"/>
  <c r="D139" i="1"/>
  <c r="I137" i="1"/>
  <c r="J137" i="1" s="1"/>
  <c r="F137" i="1"/>
  <c r="I126" i="1"/>
  <c r="J126" i="1" s="1"/>
  <c r="F126" i="1"/>
  <c r="G112" i="1"/>
  <c r="E111" i="1"/>
  <c r="E359" i="6" s="1"/>
  <c r="G113" i="1"/>
  <c r="G122" i="1"/>
  <c r="G484" i="1" s="1"/>
  <c r="E124" i="1"/>
  <c r="F124" i="1" s="1"/>
  <c r="E122" i="1"/>
  <c r="E484" i="1" s="1"/>
  <c r="C499" i="1" s="1"/>
  <c r="E114" i="1"/>
  <c r="F114" i="1" s="1"/>
  <c r="E125" i="1"/>
  <c r="F125" i="1" s="1"/>
  <c r="E119" i="1"/>
  <c r="F119" i="1" s="1"/>
  <c r="E123" i="1"/>
  <c r="E120" i="1"/>
  <c r="F120" i="1" s="1"/>
  <c r="E118" i="1"/>
  <c r="I118" i="1" s="1"/>
  <c r="J118" i="1" s="1"/>
  <c r="E112" i="1"/>
  <c r="E361" i="6" s="1"/>
  <c r="E113" i="1"/>
  <c r="E363" i="6" s="1"/>
  <c r="E121" i="1"/>
  <c r="F121" i="1" s="1"/>
  <c r="E117" i="1"/>
  <c r="F117" i="1" s="1"/>
  <c r="E116" i="1"/>
  <c r="F116" i="1" s="1"/>
  <c r="G111" i="1"/>
  <c r="G480" i="1" s="1"/>
  <c r="E115" i="1"/>
  <c r="E249" i="1"/>
  <c r="E101" i="7"/>
  <c r="BA403" i="1"/>
  <c r="H101" i="7"/>
  <c r="AX403" i="1"/>
  <c r="H77" i="1" l="1"/>
  <c r="K77" i="1"/>
  <c r="E449" i="7"/>
  <c r="E628" i="6"/>
  <c r="I448" i="7"/>
  <c r="I627" i="6"/>
  <c r="C502" i="4"/>
  <c r="C495" i="4"/>
  <c r="G98" i="7"/>
  <c r="D325" i="7"/>
  <c r="E499" i="1"/>
  <c r="I494" i="1"/>
  <c r="E482" i="1"/>
  <c r="E77" i="7"/>
  <c r="E481" i="1"/>
  <c r="E76" i="7"/>
  <c r="E480" i="1"/>
  <c r="E75" i="7"/>
  <c r="CA227" i="1"/>
  <c r="F227" i="1"/>
  <c r="F213" i="1"/>
  <c r="F97" i="7" s="1"/>
  <c r="E97" i="7"/>
  <c r="H248" i="1"/>
  <c r="I248" i="1" s="1"/>
  <c r="CA242" i="1"/>
  <c r="F242" i="1"/>
  <c r="CA222" i="1"/>
  <c r="F222" i="1"/>
  <c r="CA219" i="1"/>
  <c r="F219" i="1"/>
  <c r="CA215" i="1"/>
  <c r="N99" i="7" s="1"/>
  <c r="F215" i="1"/>
  <c r="F99" i="7" s="1"/>
  <c r="E99" i="7"/>
  <c r="CA221" i="1"/>
  <c r="F221" i="1"/>
  <c r="CA224" i="1"/>
  <c r="F224" i="1"/>
  <c r="CA220" i="1"/>
  <c r="F220" i="1"/>
  <c r="CA246" i="1"/>
  <c r="F246" i="1"/>
  <c r="CA218" i="1"/>
  <c r="F218" i="1"/>
  <c r="CA214" i="1"/>
  <c r="N98" i="7" s="1"/>
  <c r="F214" i="1"/>
  <c r="F98" i="7" s="1"/>
  <c r="E98" i="7"/>
  <c r="CA248" i="1"/>
  <c r="F248" i="1"/>
  <c r="E102" i="7"/>
  <c r="M136" i="4"/>
  <c r="M133" i="4"/>
  <c r="C162" i="4"/>
  <c r="G324" i="6"/>
  <c r="G482" i="1"/>
  <c r="G323" i="6"/>
  <c r="H342" i="6" s="1"/>
  <c r="G481" i="1"/>
  <c r="I121" i="4"/>
  <c r="G187" i="4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H186" i="4"/>
  <c r="BK398" i="1"/>
  <c r="BM398" i="1" s="1"/>
  <c r="BS396" i="1"/>
  <c r="BU396" i="1" s="1"/>
  <c r="BG399" i="1"/>
  <c r="BI399" i="1" s="1"/>
  <c r="BB402" i="1"/>
  <c r="BW391" i="1"/>
  <c r="BY391" i="1" s="1"/>
  <c r="BZ391" i="1" s="1"/>
  <c r="H340" i="6"/>
  <c r="H333" i="6"/>
  <c r="G322" i="6"/>
  <c r="H335" i="6" s="1"/>
  <c r="E322" i="6"/>
  <c r="E323" i="6"/>
  <c r="E324" i="6"/>
  <c r="I414" i="6"/>
  <c r="C415" i="6" s="1"/>
  <c r="E294" i="1"/>
  <c r="BF400" i="1"/>
  <c r="BG400" i="1"/>
  <c r="BI400" i="1" s="1"/>
  <c r="BJ400" i="1" s="1"/>
  <c r="AZ404" i="1"/>
  <c r="BC402" i="1"/>
  <c r="BE402" i="1" s="1"/>
  <c r="BF402" i="1" s="1"/>
  <c r="BE401" i="1"/>
  <c r="BQ397" i="1"/>
  <c r="BJ398" i="1"/>
  <c r="BF399" i="1"/>
  <c r="BR396" i="1"/>
  <c r="H215" i="1"/>
  <c r="H99" i="7" s="1"/>
  <c r="E282" i="1"/>
  <c r="F113" i="1"/>
  <c r="F363" i="6" s="1"/>
  <c r="F112" i="1"/>
  <c r="CA213" i="1"/>
  <c r="I290" i="1"/>
  <c r="K287" i="1"/>
  <c r="H214" i="1"/>
  <c r="E486" i="4" s="1"/>
  <c r="E286" i="1"/>
  <c r="C513" i="6"/>
  <c r="C74" i="6"/>
  <c r="C317" i="7" s="1"/>
  <c r="I124" i="4"/>
  <c r="BV391" i="1"/>
  <c r="BY390" i="1"/>
  <c r="BY394" i="1"/>
  <c r="BZ394" i="1" s="1"/>
  <c r="CE386" i="1"/>
  <c r="CD389" i="1"/>
  <c r="CA392" i="1"/>
  <c r="CC392" i="1" s="1"/>
  <c r="CA385" i="1"/>
  <c r="CC385" i="1" s="1"/>
  <c r="CD388" i="1"/>
  <c r="BZ395" i="1"/>
  <c r="BZ387" i="1"/>
  <c r="CA393" i="1"/>
  <c r="CC393" i="1" s="1"/>
  <c r="C115" i="4"/>
  <c r="M124" i="4"/>
  <c r="I136" i="4"/>
  <c r="I133" i="4"/>
  <c r="F107" i="4"/>
  <c r="M121" i="4" s="1"/>
  <c r="C114" i="4"/>
  <c r="G107" i="4"/>
  <c r="E278" i="1"/>
  <c r="K279" i="1"/>
  <c r="H213" i="1"/>
  <c r="H97" i="7" s="1"/>
  <c r="I220" i="1"/>
  <c r="J220" i="1" s="1"/>
  <c r="I218" i="1"/>
  <c r="J218" i="1" s="1"/>
  <c r="K218" i="1" s="1"/>
  <c r="I219" i="1"/>
  <c r="L236" i="1"/>
  <c r="M236" i="1" s="1"/>
  <c r="L228" i="1"/>
  <c r="M228" i="1" s="1"/>
  <c r="L243" i="1"/>
  <c r="M243" i="1" s="1"/>
  <c r="L238" i="1"/>
  <c r="M238" i="1" s="1"/>
  <c r="L247" i="1"/>
  <c r="M247" i="1" s="1"/>
  <c r="L230" i="1"/>
  <c r="M230" i="1" s="1"/>
  <c r="L232" i="1"/>
  <c r="M232" i="1" s="1"/>
  <c r="L244" i="1"/>
  <c r="M244" i="1" s="1"/>
  <c r="L221" i="1"/>
  <c r="M221" i="1" s="1"/>
  <c r="L246" i="1"/>
  <c r="M246" i="1" s="1"/>
  <c r="L245" i="1"/>
  <c r="M245" i="1" s="1"/>
  <c r="L237" i="1"/>
  <c r="M237" i="1" s="1"/>
  <c r="L223" i="1"/>
  <c r="M223" i="1" s="1"/>
  <c r="L216" i="1"/>
  <c r="M216" i="1" s="1"/>
  <c r="N216" i="1" s="1"/>
  <c r="J229" i="1"/>
  <c r="K229" i="1" s="1"/>
  <c r="H217" i="1"/>
  <c r="I217" i="1" s="1"/>
  <c r="J217" i="1" s="1"/>
  <c r="K217" i="1" s="1"/>
  <c r="I135" i="1"/>
  <c r="J135" i="1" s="1"/>
  <c r="H240" i="1"/>
  <c r="I240" i="1" s="1"/>
  <c r="J226" i="1"/>
  <c r="K226" i="1" s="1"/>
  <c r="H235" i="1"/>
  <c r="I235" i="1" s="1"/>
  <c r="H225" i="1"/>
  <c r="I225" i="1" s="1"/>
  <c r="J234" i="1"/>
  <c r="K234" i="1" s="1"/>
  <c r="H233" i="1"/>
  <c r="I233" i="1" s="1"/>
  <c r="J241" i="1"/>
  <c r="K241" i="1" s="1"/>
  <c r="H224" i="1"/>
  <c r="I224" i="1" s="1"/>
  <c r="J224" i="1" s="1"/>
  <c r="K224" i="1" s="1"/>
  <c r="H231" i="1"/>
  <c r="I231" i="1" s="1"/>
  <c r="J231" i="1" s="1"/>
  <c r="K231" i="1" s="1"/>
  <c r="H222" i="1"/>
  <c r="I222" i="1" s="1"/>
  <c r="J222" i="1" s="1"/>
  <c r="K222" i="1" s="1"/>
  <c r="H239" i="1"/>
  <c r="I239" i="1" s="1"/>
  <c r="J239" i="1" s="1"/>
  <c r="K239" i="1" s="1"/>
  <c r="J242" i="1"/>
  <c r="K242" i="1" s="1"/>
  <c r="J227" i="1"/>
  <c r="K227" i="1" s="1"/>
  <c r="F129" i="1"/>
  <c r="I132" i="1"/>
  <c r="J132" i="1" s="1"/>
  <c r="E514" i="6"/>
  <c r="M514" i="6"/>
  <c r="K515" i="6" s="1"/>
  <c r="G232" i="6"/>
  <c r="C233" i="6" s="1"/>
  <c r="I134" i="1"/>
  <c r="J134" i="1" s="1"/>
  <c r="F130" i="1"/>
  <c r="F111" i="1"/>
  <c r="F127" i="1"/>
  <c r="I127" i="1"/>
  <c r="J127" i="1" s="1"/>
  <c r="I131" i="1"/>
  <c r="J131" i="1" s="1"/>
  <c r="F131" i="1"/>
  <c r="F128" i="1"/>
  <c r="I128" i="1"/>
  <c r="J128" i="1" s="1"/>
  <c r="I133" i="1"/>
  <c r="J133" i="1" s="1"/>
  <c r="F133" i="1"/>
  <c r="F138" i="1"/>
  <c r="I138" i="1"/>
  <c r="J138" i="1" s="1"/>
  <c r="E139" i="1"/>
  <c r="G139" i="1"/>
  <c r="B141" i="1"/>
  <c r="D140" i="1"/>
  <c r="H113" i="1"/>
  <c r="H112" i="1"/>
  <c r="I122" i="1"/>
  <c r="I484" i="1" s="1"/>
  <c r="G499" i="1" s="1"/>
  <c r="H122" i="1"/>
  <c r="H484" i="1" s="1"/>
  <c r="I124" i="1"/>
  <c r="J124" i="1" s="1"/>
  <c r="I114" i="1"/>
  <c r="J114" i="1" s="1"/>
  <c r="I120" i="1"/>
  <c r="J120" i="1" s="1"/>
  <c r="I125" i="1"/>
  <c r="J125" i="1" s="1"/>
  <c r="F122" i="1"/>
  <c r="F484" i="1" s="1"/>
  <c r="I121" i="1"/>
  <c r="J121" i="1" s="1"/>
  <c r="F118" i="1"/>
  <c r="I112" i="1"/>
  <c r="I123" i="1"/>
  <c r="J123" i="1" s="1"/>
  <c r="F123" i="1"/>
  <c r="I119" i="1"/>
  <c r="J119" i="1" s="1"/>
  <c r="I111" i="1"/>
  <c r="I480" i="1" s="1"/>
  <c r="I117" i="1"/>
  <c r="J117" i="1" s="1"/>
  <c r="I116" i="1"/>
  <c r="J116" i="1" s="1"/>
  <c r="I113" i="1"/>
  <c r="F115" i="1"/>
  <c r="I115" i="1"/>
  <c r="J115" i="1" s="1"/>
  <c r="H111" i="1"/>
  <c r="BB403" i="1"/>
  <c r="G101" i="7"/>
  <c r="H249" i="1"/>
  <c r="I101" i="7"/>
  <c r="F101" i="7"/>
  <c r="E236" i="6"/>
  <c r="BE403" i="1"/>
  <c r="CA249" i="1"/>
  <c r="J101" i="7"/>
  <c r="C449" i="7" l="1"/>
  <c r="C628" i="6"/>
  <c r="E450" i="7"/>
  <c r="E629" i="6"/>
  <c r="E490" i="4"/>
  <c r="C504" i="4"/>
  <c r="G502" i="4"/>
  <c r="E495" i="4"/>
  <c r="F76" i="7"/>
  <c r="F361" i="6"/>
  <c r="F75" i="7"/>
  <c r="F359" i="6"/>
  <c r="H98" i="7"/>
  <c r="F77" i="7"/>
  <c r="N97" i="7"/>
  <c r="J248" i="1"/>
  <c r="K248" i="1" s="1"/>
  <c r="H102" i="7"/>
  <c r="H107" i="4"/>
  <c r="I127" i="4"/>
  <c r="J168" i="4"/>
  <c r="G237" i="4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C237" i="4"/>
  <c r="D162" i="4"/>
  <c r="C163" i="4" s="1"/>
  <c r="I323" i="6"/>
  <c r="H343" i="6" s="1"/>
  <c r="I481" i="1"/>
  <c r="F324" i="6"/>
  <c r="F482" i="1"/>
  <c r="H324" i="6"/>
  <c r="H482" i="1"/>
  <c r="H322" i="6"/>
  <c r="H480" i="1"/>
  <c r="I324" i="6"/>
  <c r="I482" i="1"/>
  <c r="H323" i="6"/>
  <c r="H481" i="1"/>
  <c r="F322" i="6"/>
  <c r="F480" i="1"/>
  <c r="F323" i="6"/>
  <c r="F481" i="1"/>
  <c r="C205" i="4"/>
  <c r="K205" i="4"/>
  <c r="H207" i="4"/>
  <c r="D186" i="4"/>
  <c r="D207" i="4" s="1"/>
  <c r="D208" i="4" s="1"/>
  <c r="L186" i="4"/>
  <c r="K187" i="4" s="1"/>
  <c r="D237" i="6"/>
  <c r="K71" i="1" s="1"/>
  <c r="BJ399" i="1"/>
  <c r="BR397" i="1"/>
  <c r="BF401" i="1"/>
  <c r="BV396" i="1"/>
  <c r="CA390" i="1"/>
  <c r="CC390" i="1" s="1"/>
  <c r="CD390" i="1" s="1"/>
  <c r="H139" i="1"/>
  <c r="H334" i="6"/>
  <c r="H341" i="6"/>
  <c r="I322" i="6"/>
  <c r="H336" i="6" s="1"/>
  <c r="BK400" i="1"/>
  <c r="BM400" i="1" s="1"/>
  <c r="BN400" i="1" s="1"/>
  <c r="BS397" i="1"/>
  <c r="BU397" i="1" s="1"/>
  <c r="BK399" i="1"/>
  <c r="BM399" i="1" s="1"/>
  <c r="BW396" i="1"/>
  <c r="BY396" i="1" s="1"/>
  <c r="BG401" i="1"/>
  <c r="BI401" i="1" s="1"/>
  <c r="BG402" i="1"/>
  <c r="BI402" i="1" s="1"/>
  <c r="BJ402" i="1" s="1"/>
  <c r="BD404" i="1"/>
  <c r="BN398" i="1"/>
  <c r="BO398" i="1"/>
  <c r="I215" i="1"/>
  <c r="I99" i="7" s="1"/>
  <c r="E279" i="1"/>
  <c r="I214" i="1"/>
  <c r="F486" i="4" s="1"/>
  <c r="E287" i="1"/>
  <c r="I294" i="1" s="1"/>
  <c r="K290" i="1"/>
  <c r="E74" i="6"/>
  <c r="G513" i="6"/>
  <c r="I135" i="4"/>
  <c r="CA394" i="1"/>
  <c r="CC394" i="1" s="1"/>
  <c r="CD394" i="1" s="1"/>
  <c r="BZ390" i="1"/>
  <c r="CG386" i="1"/>
  <c r="CD385" i="1"/>
  <c r="CE388" i="1"/>
  <c r="CG388" i="1" s="1"/>
  <c r="CD392" i="1"/>
  <c r="CA391" i="1"/>
  <c r="CC391" i="1" s="1"/>
  <c r="CD393" i="1"/>
  <c r="BZ385" i="1"/>
  <c r="CA387" i="1"/>
  <c r="CC387" i="1" s="1"/>
  <c r="CA395" i="1"/>
  <c r="CC395" i="1" s="1"/>
  <c r="CE389" i="1"/>
  <c r="CG389" i="1" s="1"/>
  <c r="C116" i="4"/>
  <c r="J219" i="1"/>
  <c r="K219" i="1" s="1"/>
  <c r="K220" i="1"/>
  <c r="N232" i="1"/>
  <c r="O232" i="1" s="1"/>
  <c r="N246" i="1"/>
  <c r="O246" i="1" s="1"/>
  <c r="N237" i="1"/>
  <c r="O237" i="1" s="1"/>
  <c r="L231" i="1"/>
  <c r="M231" i="1" s="1"/>
  <c r="N247" i="1"/>
  <c r="O247" i="1" s="1"/>
  <c r="N228" i="1"/>
  <c r="O228" i="1" s="1"/>
  <c r="L234" i="1"/>
  <c r="M234" i="1" s="1"/>
  <c r="N221" i="1"/>
  <c r="O221" i="1" s="1"/>
  <c r="N230" i="1"/>
  <c r="O230" i="1" s="1"/>
  <c r="L222" i="1"/>
  <c r="M222" i="1" s="1"/>
  <c r="L224" i="1"/>
  <c r="M224" i="1" s="1"/>
  <c r="L229" i="1"/>
  <c r="M229" i="1" s="1"/>
  <c r="N245" i="1"/>
  <c r="O245" i="1" s="1"/>
  <c r="L242" i="1"/>
  <c r="M242" i="1" s="1"/>
  <c r="N243" i="1"/>
  <c r="O243" i="1" s="1"/>
  <c r="L239" i="1"/>
  <c r="M239" i="1" s="1"/>
  <c r="L217" i="1"/>
  <c r="M217" i="1" s="1"/>
  <c r="N244" i="1"/>
  <c r="O244" i="1" s="1"/>
  <c r="L218" i="1"/>
  <c r="M218" i="1" s="1"/>
  <c r="N238" i="1"/>
  <c r="O238" i="1" s="1"/>
  <c r="N236" i="1"/>
  <c r="O236" i="1" s="1"/>
  <c r="L227" i="1"/>
  <c r="M227" i="1" s="1"/>
  <c r="N223" i="1"/>
  <c r="O223" i="1" s="1"/>
  <c r="L241" i="1"/>
  <c r="M241" i="1" s="1"/>
  <c r="L226" i="1"/>
  <c r="M226" i="1" s="1"/>
  <c r="J225" i="1"/>
  <c r="K225" i="1" s="1"/>
  <c r="J240" i="1"/>
  <c r="K240" i="1" s="1"/>
  <c r="J233" i="1"/>
  <c r="K233" i="1" s="1"/>
  <c r="J235" i="1"/>
  <c r="K235" i="1" s="1"/>
  <c r="M515" i="6"/>
  <c r="K516" i="6" s="1"/>
  <c r="E515" i="6"/>
  <c r="M107" i="4"/>
  <c r="G233" i="6"/>
  <c r="C234" i="6" s="1"/>
  <c r="B142" i="1"/>
  <c r="D141" i="1"/>
  <c r="I139" i="1"/>
  <c r="F139" i="1"/>
  <c r="G140" i="1"/>
  <c r="E140" i="1"/>
  <c r="J112" i="1"/>
  <c r="J111" i="1"/>
  <c r="J322" i="6" s="1"/>
  <c r="J113" i="1"/>
  <c r="J122" i="1"/>
  <c r="J484" i="1" s="1"/>
  <c r="K101" i="7"/>
  <c r="L101" i="7"/>
  <c r="BI403" i="1"/>
  <c r="BF403" i="1"/>
  <c r="H71" i="1" l="1"/>
  <c r="G449" i="7"/>
  <c r="G628" i="6"/>
  <c r="G495" i="4"/>
  <c r="C506" i="4"/>
  <c r="L248" i="1"/>
  <c r="M248" i="1" s="1"/>
  <c r="N248" i="1" s="1"/>
  <c r="O248" i="1" s="1"/>
  <c r="I98" i="7"/>
  <c r="H237" i="4"/>
  <c r="H258" i="4" s="1"/>
  <c r="H259" i="4" s="1"/>
  <c r="G256" i="4"/>
  <c r="I139" i="4"/>
  <c r="N107" i="4"/>
  <c r="C272" i="4"/>
  <c r="G272" i="4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M169" i="4"/>
  <c r="D163" i="4"/>
  <c r="L163" i="4" s="1"/>
  <c r="F162" i="4"/>
  <c r="I162" i="4"/>
  <c r="J324" i="6"/>
  <c r="J482" i="1"/>
  <c r="J323" i="6"/>
  <c r="J481" i="1"/>
  <c r="J480" i="1"/>
  <c r="C187" i="4"/>
  <c r="D187" i="4" s="1"/>
  <c r="C188" i="4" s="1"/>
  <c r="C256" i="4"/>
  <c r="K256" i="4"/>
  <c r="H187" i="4"/>
  <c r="L187" i="4"/>
  <c r="L237" i="4"/>
  <c r="D237" i="4"/>
  <c r="D258" i="4" s="1"/>
  <c r="D259" i="4" s="1"/>
  <c r="CH386" i="1"/>
  <c r="BJ401" i="1"/>
  <c r="BN399" i="1"/>
  <c r="BV397" i="1"/>
  <c r="BZ396" i="1"/>
  <c r="J139" i="1"/>
  <c r="E317" i="7"/>
  <c r="I415" i="6"/>
  <c r="C416" i="6" s="1"/>
  <c r="BO400" i="1"/>
  <c r="BQ400" i="1" s="1"/>
  <c r="BR400" i="1" s="1"/>
  <c r="BO399" i="1"/>
  <c r="BQ399" i="1" s="1"/>
  <c r="BR399" i="1" s="1"/>
  <c r="CA396" i="1"/>
  <c r="CC396" i="1" s="1"/>
  <c r="BK402" i="1"/>
  <c r="BK401" i="1"/>
  <c r="BM401" i="1" s="1"/>
  <c r="BW397" i="1"/>
  <c r="BY397" i="1" s="1"/>
  <c r="BH404" i="1"/>
  <c r="BQ398" i="1"/>
  <c r="CE394" i="1"/>
  <c r="CG394" i="1" s="1"/>
  <c r="CH394" i="1" s="1"/>
  <c r="J215" i="1"/>
  <c r="J99" i="7" s="1"/>
  <c r="H140" i="1"/>
  <c r="I137" i="4"/>
  <c r="K291" i="1"/>
  <c r="E290" i="1"/>
  <c r="J214" i="1"/>
  <c r="G486" i="4" s="1"/>
  <c r="F74" i="6"/>
  <c r="H513" i="6"/>
  <c r="F513" i="6"/>
  <c r="CH389" i="1"/>
  <c r="CE393" i="1"/>
  <c r="CG393" i="1" s="1"/>
  <c r="CE392" i="1"/>
  <c r="CG392" i="1" s="1"/>
  <c r="CH388" i="1"/>
  <c r="CD395" i="1"/>
  <c r="CD391" i="1"/>
  <c r="CE390" i="1"/>
  <c r="CG390" i="1" s="1"/>
  <c r="M127" i="4"/>
  <c r="C117" i="4"/>
  <c r="L219" i="1"/>
  <c r="M219" i="1" s="1"/>
  <c r="N219" i="1" s="1"/>
  <c r="O219" i="1" s="1"/>
  <c r="L220" i="1"/>
  <c r="P244" i="1"/>
  <c r="Q244" i="1" s="1"/>
  <c r="N231" i="1"/>
  <c r="O231" i="1" s="1"/>
  <c r="N224" i="1"/>
  <c r="O224" i="1" s="1"/>
  <c r="N242" i="1"/>
  <c r="O242" i="1" s="1"/>
  <c r="L233" i="1"/>
  <c r="M233" i="1" s="1"/>
  <c r="N234" i="1"/>
  <c r="O234" i="1" s="1"/>
  <c r="N239" i="1"/>
  <c r="O239" i="1" s="1"/>
  <c r="P228" i="1"/>
  <c r="Q228" i="1" s="1"/>
  <c r="N226" i="1"/>
  <c r="O226" i="1" s="1"/>
  <c r="P223" i="1"/>
  <c r="Q223" i="1" s="1"/>
  <c r="P230" i="1"/>
  <c r="Q230" i="1" s="1"/>
  <c r="P246" i="1"/>
  <c r="Q246" i="1" s="1"/>
  <c r="P236" i="1"/>
  <c r="Q236" i="1" s="1"/>
  <c r="N217" i="1"/>
  <c r="P237" i="1"/>
  <c r="Q237" i="1" s="1"/>
  <c r="P245" i="1"/>
  <c r="Q245" i="1" s="1"/>
  <c r="N218" i="1"/>
  <c r="O218" i="1" s="1"/>
  <c r="P243" i="1"/>
  <c r="Q243" i="1" s="1"/>
  <c r="N229" i="1"/>
  <c r="O229" i="1" s="1"/>
  <c r="P247" i="1"/>
  <c r="Q247" i="1" s="1"/>
  <c r="L225" i="1"/>
  <c r="M225" i="1" s="1"/>
  <c r="N222" i="1"/>
  <c r="O222" i="1" s="1"/>
  <c r="L235" i="1"/>
  <c r="M235" i="1" s="1"/>
  <c r="N241" i="1"/>
  <c r="O241" i="1" s="1"/>
  <c r="N227" i="1"/>
  <c r="O227" i="1" s="1"/>
  <c r="P221" i="1"/>
  <c r="Q221" i="1" s="1"/>
  <c r="P232" i="1"/>
  <c r="Q232" i="1" s="1"/>
  <c r="L240" i="1"/>
  <c r="M240" i="1" s="1"/>
  <c r="P238" i="1"/>
  <c r="Q238" i="1" s="1"/>
  <c r="M516" i="6"/>
  <c r="K517" i="6" s="1"/>
  <c r="E516" i="6"/>
  <c r="G234" i="6"/>
  <c r="C235" i="6" s="1"/>
  <c r="I140" i="1"/>
  <c r="F140" i="1"/>
  <c r="G141" i="1"/>
  <c r="E141" i="1"/>
  <c r="B143" i="1"/>
  <c r="D142" i="1"/>
  <c r="BJ403" i="1"/>
  <c r="J249" i="1"/>
  <c r="H449" i="7" l="1"/>
  <c r="H628" i="6"/>
  <c r="F449" i="7"/>
  <c r="F628" i="6"/>
  <c r="C490" i="4"/>
  <c r="G506" i="4"/>
  <c r="J98" i="7"/>
  <c r="J102" i="7"/>
  <c r="G291" i="4"/>
  <c r="K238" i="4"/>
  <c r="H272" i="4"/>
  <c r="H293" i="4" s="1"/>
  <c r="H294" i="4" s="1"/>
  <c r="C164" i="4"/>
  <c r="F163" i="4"/>
  <c r="I163" i="4"/>
  <c r="K188" i="4"/>
  <c r="L188" i="4" s="1"/>
  <c r="C238" i="4"/>
  <c r="D238" i="4" s="1"/>
  <c r="K291" i="4"/>
  <c r="C291" i="4"/>
  <c r="D188" i="4"/>
  <c r="C189" i="4" s="1"/>
  <c r="D272" i="4"/>
  <c r="D293" i="4" s="1"/>
  <c r="D294" i="4" s="1"/>
  <c r="H238" i="4"/>
  <c r="L272" i="4"/>
  <c r="F317" i="7"/>
  <c r="CD396" i="1"/>
  <c r="CA397" i="1"/>
  <c r="CC397" i="1" s="1"/>
  <c r="O217" i="1"/>
  <c r="P217" i="1" s="1"/>
  <c r="J140" i="1"/>
  <c r="H141" i="1"/>
  <c r="BM402" i="1"/>
  <c r="CE396" i="1"/>
  <c r="BS400" i="1"/>
  <c r="BU400" i="1" s="1"/>
  <c r="BV400" i="1" s="1"/>
  <c r="BZ397" i="1"/>
  <c r="BR398" i="1"/>
  <c r="BN401" i="1"/>
  <c r="BO401" i="1"/>
  <c r="BS398" i="1"/>
  <c r="BS399" i="1"/>
  <c r="K215" i="1"/>
  <c r="E291" i="1"/>
  <c r="K294" i="1" s="1"/>
  <c r="I513" i="6"/>
  <c r="G74" i="6"/>
  <c r="G317" i="7" s="1"/>
  <c r="CI394" i="1"/>
  <c r="CK394" i="1" s="1"/>
  <c r="CL394" i="1" s="1"/>
  <c r="CI388" i="1"/>
  <c r="CH390" i="1"/>
  <c r="CD387" i="1"/>
  <c r="CH392" i="1"/>
  <c r="CE387" i="1"/>
  <c r="CG387" i="1" s="1"/>
  <c r="CE391" i="1"/>
  <c r="CG391" i="1" s="1"/>
  <c r="CH393" i="1"/>
  <c r="CI389" i="1"/>
  <c r="CK389" i="1" s="1"/>
  <c r="CE395" i="1"/>
  <c r="CG395" i="1" s="1"/>
  <c r="M220" i="1"/>
  <c r="R244" i="1"/>
  <c r="S244" i="1" s="1"/>
  <c r="N233" i="1"/>
  <c r="O233" i="1" s="1"/>
  <c r="R243" i="1"/>
  <c r="S243" i="1" s="1"/>
  <c r="R236" i="1"/>
  <c r="S236" i="1" s="1"/>
  <c r="P222" i="1"/>
  <c r="Q222" i="1" s="1"/>
  <c r="P239" i="1"/>
  <c r="Q239" i="1" s="1"/>
  <c r="R230" i="1"/>
  <c r="S230" i="1" s="1"/>
  <c r="R237" i="1"/>
  <c r="S237" i="1" s="1"/>
  <c r="P226" i="1"/>
  <c r="Q226" i="1" s="1"/>
  <c r="R221" i="1"/>
  <c r="S221" i="1" s="1"/>
  <c r="R245" i="1"/>
  <c r="S245" i="1" s="1"/>
  <c r="R238" i="1"/>
  <c r="S238" i="1" s="1"/>
  <c r="R247" i="1"/>
  <c r="S247" i="1" s="1"/>
  <c r="P242" i="1"/>
  <c r="Q242" i="1" s="1"/>
  <c r="P248" i="1"/>
  <c r="Q248" i="1" s="1"/>
  <c r="P241" i="1"/>
  <c r="Q241" i="1" s="1"/>
  <c r="P224" i="1"/>
  <c r="Q224" i="1" s="1"/>
  <c r="N240" i="1"/>
  <c r="O240" i="1" s="1"/>
  <c r="P234" i="1"/>
  <c r="Q234" i="1" s="1"/>
  <c r="P229" i="1"/>
  <c r="Q229" i="1" s="1"/>
  <c r="P219" i="1"/>
  <c r="Q219" i="1" s="1"/>
  <c r="R246" i="1"/>
  <c r="S246" i="1" s="1"/>
  <c r="R228" i="1"/>
  <c r="S228" i="1" s="1"/>
  <c r="N225" i="1"/>
  <c r="P218" i="1"/>
  <c r="Q218" i="1" s="1"/>
  <c r="R218" i="1" s="1"/>
  <c r="R223" i="1"/>
  <c r="S223" i="1" s="1"/>
  <c r="R232" i="1"/>
  <c r="S232" i="1" s="1"/>
  <c r="N235" i="1"/>
  <c r="O235" i="1" s="1"/>
  <c r="P231" i="1"/>
  <c r="Q231" i="1" s="1"/>
  <c r="P227" i="1"/>
  <c r="Q227" i="1" s="1"/>
  <c r="M517" i="6"/>
  <c r="K518" i="6" s="1"/>
  <c r="E517" i="6"/>
  <c r="G142" i="1"/>
  <c r="E142" i="1"/>
  <c r="D143" i="1"/>
  <c r="B144" i="1"/>
  <c r="I141" i="1"/>
  <c r="F141" i="1"/>
  <c r="H188" i="4"/>
  <c r="BM403" i="1"/>
  <c r="I449" i="7" l="1"/>
  <c r="I628" i="6"/>
  <c r="K99" i="7"/>
  <c r="K273" i="4"/>
  <c r="L273" i="4" s="1"/>
  <c r="D164" i="4"/>
  <c r="G307" i="4"/>
  <c r="C307" i="4"/>
  <c r="D307" i="4" s="1"/>
  <c r="D328" i="4" s="1"/>
  <c r="D329" i="4" s="1"/>
  <c r="P170" i="4"/>
  <c r="C273" i="4"/>
  <c r="C239" i="4"/>
  <c r="D239" i="4" s="1"/>
  <c r="C240" i="4" s="1"/>
  <c r="K189" i="4"/>
  <c r="D189" i="4"/>
  <c r="C190" i="4" s="1"/>
  <c r="L238" i="4"/>
  <c r="L307" i="4"/>
  <c r="CD397" i="1"/>
  <c r="BN402" i="1"/>
  <c r="I416" i="6"/>
  <c r="C417" i="6" s="1"/>
  <c r="BL404" i="1"/>
  <c r="CG396" i="1"/>
  <c r="CE397" i="1"/>
  <c r="CG397" i="1" s="1"/>
  <c r="CH397" i="1" s="1"/>
  <c r="BO402" i="1"/>
  <c r="BQ402" i="1" s="1"/>
  <c r="BR402" i="1" s="1"/>
  <c r="BW400" i="1"/>
  <c r="BY400" i="1" s="1"/>
  <c r="BU399" i="1"/>
  <c r="BV399" i="1" s="1"/>
  <c r="BU398" i="1"/>
  <c r="BQ401" i="1"/>
  <c r="L215" i="1"/>
  <c r="J141" i="1"/>
  <c r="C75" i="6"/>
  <c r="C318" i="7" s="1"/>
  <c r="C514" i="6"/>
  <c r="CK388" i="1"/>
  <c r="CM388" i="1" s="1"/>
  <c r="CO388" i="1" s="1"/>
  <c r="CI392" i="1"/>
  <c r="CH391" i="1"/>
  <c r="CL389" i="1"/>
  <c r="CI390" i="1"/>
  <c r="CK390" i="1" s="1"/>
  <c r="CI393" i="1"/>
  <c r="CK393" i="1" s="1"/>
  <c r="CH395" i="1"/>
  <c r="CI387" i="1"/>
  <c r="CK387" i="1" s="1"/>
  <c r="CM394" i="1"/>
  <c r="CO394" i="1" s="1"/>
  <c r="N220" i="1"/>
  <c r="O225" i="1"/>
  <c r="P225" i="1" s="1"/>
  <c r="T221" i="1"/>
  <c r="U221" i="1" s="1"/>
  <c r="T228" i="1"/>
  <c r="U228" i="1" s="1"/>
  <c r="R241" i="1"/>
  <c r="S241" i="1" s="1"/>
  <c r="R234" i="1"/>
  <c r="S234" i="1" s="1"/>
  <c r="T232" i="1"/>
  <c r="U232" i="1" s="1"/>
  <c r="T238" i="1"/>
  <c r="U238" i="1" s="1"/>
  <c r="R222" i="1"/>
  <c r="S222" i="1" s="1"/>
  <c r="R242" i="1"/>
  <c r="S242" i="1" s="1"/>
  <c r="T247" i="1"/>
  <c r="U247" i="1" s="1"/>
  <c r="T237" i="1"/>
  <c r="U237" i="1" s="1"/>
  <c r="T244" i="1"/>
  <c r="U244" i="1" s="1"/>
  <c r="T246" i="1"/>
  <c r="U246" i="1" s="1"/>
  <c r="T245" i="1"/>
  <c r="U245" i="1" s="1"/>
  <c r="T230" i="1"/>
  <c r="U230" i="1" s="1"/>
  <c r="R231" i="1"/>
  <c r="S231" i="1" s="1"/>
  <c r="R219" i="1"/>
  <c r="R224" i="1"/>
  <c r="S224" i="1" s="1"/>
  <c r="T243" i="1"/>
  <c r="U243" i="1" s="1"/>
  <c r="P235" i="1"/>
  <c r="Q235" i="1" s="1"/>
  <c r="R229" i="1"/>
  <c r="S229" i="1" s="1"/>
  <c r="R239" i="1"/>
  <c r="S239" i="1" s="1"/>
  <c r="P233" i="1"/>
  <c r="Q233" i="1" s="1"/>
  <c r="R226" i="1"/>
  <c r="S226" i="1" s="1"/>
  <c r="R227" i="1"/>
  <c r="S227" i="1" s="1"/>
  <c r="P240" i="1"/>
  <c r="Q240" i="1" s="1"/>
  <c r="T236" i="1"/>
  <c r="U236" i="1" s="1"/>
  <c r="T223" i="1"/>
  <c r="U223" i="1" s="1"/>
  <c r="R248" i="1"/>
  <c r="S248" i="1" s="1"/>
  <c r="M518" i="6"/>
  <c r="K519" i="6" s="1"/>
  <c r="E518" i="6"/>
  <c r="E240" i="6"/>
  <c r="H142" i="1"/>
  <c r="G143" i="1"/>
  <c r="E143" i="1"/>
  <c r="B145" i="1"/>
  <c r="D144" i="1"/>
  <c r="I142" i="1"/>
  <c r="F142" i="1"/>
  <c r="BQ403" i="1"/>
  <c r="N249" i="1"/>
  <c r="BN403" i="1"/>
  <c r="L249" i="1"/>
  <c r="C450" i="7" l="1"/>
  <c r="C629" i="6"/>
  <c r="L99" i="7"/>
  <c r="L102" i="7"/>
  <c r="C326" i="4"/>
  <c r="G308" i="4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26" i="4"/>
  <c r="H307" i="4"/>
  <c r="H328" i="4" s="1"/>
  <c r="H329" i="4" s="1"/>
  <c r="K326" i="4"/>
  <c r="L164" i="4"/>
  <c r="F164" i="4"/>
  <c r="C165" i="4"/>
  <c r="O164" i="4"/>
  <c r="I164" i="4"/>
  <c r="D273" i="4"/>
  <c r="C274" i="4" s="1"/>
  <c r="D274" i="4" s="1"/>
  <c r="C275" i="4" s="1"/>
  <c r="C308" i="4"/>
  <c r="D308" i="4" s="1"/>
  <c r="K239" i="4"/>
  <c r="L239" i="4" s="1"/>
  <c r="D240" i="4"/>
  <c r="C241" i="4" s="1"/>
  <c r="H239" i="4"/>
  <c r="H273" i="4"/>
  <c r="K274" i="4" s="1"/>
  <c r="L274" i="4" s="1"/>
  <c r="D190" i="4"/>
  <c r="C191" i="4" s="1"/>
  <c r="BW398" i="1"/>
  <c r="BY398" i="1" s="1"/>
  <c r="CH396" i="1"/>
  <c r="BS401" i="1"/>
  <c r="BU401" i="1" s="1"/>
  <c r="O220" i="1"/>
  <c r="P220" i="1" s="1"/>
  <c r="S219" i="1"/>
  <c r="J142" i="1"/>
  <c r="H143" i="1"/>
  <c r="L189" i="4"/>
  <c r="CI397" i="1"/>
  <c r="CK397" i="1" s="1"/>
  <c r="CL397" i="1" s="1"/>
  <c r="CI396" i="1"/>
  <c r="CK396" i="1" s="1"/>
  <c r="CM396" i="1" s="1"/>
  <c r="CO396" i="1" s="1"/>
  <c r="CP396" i="1" s="1"/>
  <c r="BZ400" i="1"/>
  <c r="CA400" i="1"/>
  <c r="CC400" i="1" s="1"/>
  <c r="CD400" i="1" s="1"/>
  <c r="BS402" i="1"/>
  <c r="BU402" i="1" s="1"/>
  <c r="BV402" i="1" s="1"/>
  <c r="BW399" i="1"/>
  <c r="BY399" i="1" s="1"/>
  <c r="BZ399" i="1" s="1"/>
  <c r="BR401" i="1"/>
  <c r="BP404" i="1"/>
  <c r="BV398" i="1"/>
  <c r="G514" i="6"/>
  <c r="E75" i="6"/>
  <c r="CL388" i="1"/>
  <c r="CK392" i="1"/>
  <c r="CM392" i="1" s="1"/>
  <c r="CI391" i="1"/>
  <c r="CL387" i="1"/>
  <c r="CL393" i="1"/>
  <c r="CL390" i="1"/>
  <c r="CP388" i="1"/>
  <c r="CM389" i="1"/>
  <c r="CO389" i="1" s="1"/>
  <c r="CI395" i="1"/>
  <c r="CK395" i="1" s="1"/>
  <c r="CP394" i="1"/>
  <c r="CH387" i="1"/>
  <c r="V232" i="1"/>
  <c r="W232" i="1" s="1"/>
  <c r="T248" i="1"/>
  <c r="U248" i="1" s="1"/>
  <c r="V230" i="1"/>
  <c r="W230" i="1" s="1"/>
  <c r="V221" i="1"/>
  <c r="W221" i="1" s="1"/>
  <c r="X221" i="1" s="1"/>
  <c r="T231" i="1"/>
  <c r="U231" i="1" s="1"/>
  <c r="V247" i="1"/>
  <c r="W247" i="1" s="1"/>
  <c r="V243" i="1"/>
  <c r="W243" i="1" s="1"/>
  <c r="V236" i="1"/>
  <c r="W236" i="1" s="1"/>
  <c r="T239" i="1"/>
  <c r="U239" i="1" s="1"/>
  <c r="R233" i="1"/>
  <c r="S233" i="1" s="1"/>
  <c r="T241" i="1"/>
  <c r="U241" i="1" s="1"/>
  <c r="T222" i="1"/>
  <c r="U222" i="1" s="1"/>
  <c r="T242" i="1"/>
  <c r="U242" i="1" s="1"/>
  <c r="V244" i="1"/>
  <c r="W244" i="1" s="1"/>
  <c r="T226" i="1"/>
  <c r="U226" i="1" s="1"/>
  <c r="T224" i="1"/>
  <c r="U224" i="1" s="1"/>
  <c r="V228" i="1"/>
  <c r="W228" i="1" s="1"/>
  <c r="V245" i="1"/>
  <c r="W245" i="1" s="1"/>
  <c r="R240" i="1"/>
  <c r="S240" i="1" s="1"/>
  <c r="R235" i="1"/>
  <c r="S235" i="1" s="1"/>
  <c r="T234" i="1"/>
  <c r="U234" i="1" s="1"/>
  <c r="T227" i="1"/>
  <c r="U227" i="1" s="1"/>
  <c r="V237" i="1"/>
  <c r="W237" i="1" s="1"/>
  <c r="V223" i="1"/>
  <c r="W223" i="1" s="1"/>
  <c r="T229" i="1"/>
  <c r="U229" i="1" s="1"/>
  <c r="V238" i="1"/>
  <c r="W238" i="1" s="1"/>
  <c r="Q225" i="1"/>
  <c r="V246" i="1"/>
  <c r="W246" i="1" s="1"/>
  <c r="M519" i="6"/>
  <c r="K520" i="6" s="1"/>
  <c r="E519" i="6"/>
  <c r="G235" i="6"/>
  <c r="F240" i="6"/>
  <c r="F143" i="1"/>
  <c r="I143" i="1"/>
  <c r="G144" i="1"/>
  <c r="E144" i="1"/>
  <c r="B146" i="1"/>
  <c r="D145" i="1"/>
  <c r="H189" i="4"/>
  <c r="B326" i="6"/>
  <c r="P249" i="1"/>
  <c r="B79" i="7"/>
  <c r="BR403" i="1"/>
  <c r="BU403" i="1"/>
  <c r="B366" i="6"/>
  <c r="B486" i="1"/>
  <c r="G366" i="6" l="1"/>
  <c r="G450" i="7"/>
  <c r="G629" i="6"/>
  <c r="H308" i="4"/>
  <c r="T219" i="1"/>
  <c r="D165" i="4"/>
  <c r="C166" i="4" s="1"/>
  <c r="K308" i="4"/>
  <c r="L308" i="4" s="1"/>
  <c r="K190" i="4"/>
  <c r="L190" i="4" s="1"/>
  <c r="K240" i="4"/>
  <c r="L240" i="4" s="1"/>
  <c r="C309" i="4"/>
  <c r="D309" i="4" s="1"/>
  <c r="C310" i="4" s="1"/>
  <c r="H274" i="4"/>
  <c r="K275" i="4" s="1"/>
  <c r="L275" i="4" s="1"/>
  <c r="H275" i="4"/>
  <c r="H240" i="4"/>
  <c r="D275" i="4"/>
  <c r="C276" i="4" s="1"/>
  <c r="D191" i="4"/>
  <c r="C192" i="4" s="1"/>
  <c r="D241" i="4"/>
  <c r="C242" i="4" s="1"/>
  <c r="E318" i="7"/>
  <c r="BV401" i="1"/>
  <c r="Q220" i="1"/>
  <c r="R220" i="1" s="1"/>
  <c r="J143" i="1"/>
  <c r="H144" i="1"/>
  <c r="I417" i="6"/>
  <c r="C418" i="6" s="1"/>
  <c r="CM397" i="1"/>
  <c r="CO397" i="1" s="1"/>
  <c r="CP397" i="1" s="1"/>
  <c r="CQ396" i="1"/>
  <c r="CS396" i="1" s="1"/>
  <c r="CT396" i="1" s="1"/>
  <c r="CE400" i="1"/>
  <c r="CG400" i="1" s="1"/>
  <c r="CH400" i="1" s="1"/>
  <c r="CL396" i="1"/>
  <c r="BW401" i="1"/>
  <c r="BY401" i="1" s="1"/>
  <c r="BW402" i="1"/>
  <c r="BY402" i="1" s="1"/>
  <c r="BZ402" i="1" s="1"/>
  <c r="CA399" i="1"/>
  <c r="CC399" i="1" s="1"/>
  <c r="BT404" i="1"/>
  <c r="BZ398" i="1"/>
  <c r="CA398" i="1"/>
  <c r="CL392" i="1"/>
  <c r="F75" i="6"/>
  <c r="H514" i="6"/>
  <c r="F514" i="6"/>
  <c r="CO392" i="1"/>
  <c r="CP392" i="1" s="1"/>
  <c r="CK391" i="1"/>
  <c r="CM393" i="1"/>
  <c r="CQ394" i="1"/>
  <c r="CS394" i="1" s="1"/>
  <c r="CL395" i="1"/>
  <c r="CM390" i="1"/>
  <c r="CO390" i="1" s="1"/>
  <c r="V241" i="1"/>
  <c r="W241" i="1" s="1"/>
  <c r="T235" i="1"/>
  <c r="U235" i="1" s="1"/>
  <c r="X246" i="1"/>
  <c r="Y246" i="1" s="1"/>
  <c r="V231" i="1"/>
  <c r="W231" i="1" s="1"/>
  <c r="X230" i="1"/>
  <c r="Y230" i="1" s="1"/>
  <c r="X223" i="1"/>
  <c r="Y223" i="1" s="1"/>
  <c r="X245" i="1"/>
  <c r="Y245" i="1" s="1"/>
  <c r="V242" i="1"/>
  <c r="W242" i="1" s="1"/>
  <c r="V224" i="1"/>
  <c r="W224" i="1" s="1"/>
  <c r="V234" i="1"/>
  <c r="W234" i="1" s="1"/>
  <c r="V239" i="1"/>
  <c r="W239" i="1" s="1"/>
  <c r="X237" i="1"/>
  <c r="Y237" i="1" s="1"/>
  <c r="X243" i="1"/>
  <c r="Y243" i="1" s="1"/>
  <c r="X232" i="1"/>
  <c r="Y232" i="1" s="1"/>
  <c r="V227" i="1"/>
  <c r="W227" i="1" s="1"/>
  <c r="V222" i="1"/>
  <c r="W222" i="1" s="1"/>
  <c r="X236" i="1"/>
  <c r="Y236" i="1" s="1"/>
  <c r="T240" i="1"/>
  <c r="U240" i="1" s="1"/>
  <c r="V226" i="1"/>
  <c r="W226" i="1" s="1"/>
  <c r="R225" i="1"/>
  <c r="X238" i="1"/>
  <c r="Y238" i="1" s="1"/>
  <c r="X244" i="1"/>
  <c r="Y244" i="1" s="1"/>
  <c r="V229" i="1"/>
  <c r="W229" i="1" s="1"/>
  <c r="X228" i="1"/>
  <c r="Y228" i="1" s="1"/>
  <c r="T233" i="1"/>
  <c r="U233" i="1" s="1"/>
  <c r="X247" i="1"/>
  <c r="Y247" i="1" s="1"/>
  <c r="V248" i="1"/>
  <c r="W248" i="1" s="1"/>
  <c r="M520" i="6"/>
  <c r="K521" i="6" s="1"/>
  <c r="E520" i="6"/>
  <c r="G145" i="1"/>
  <c r="E145" i="1"/>
  <c r="F144" i="1"/>
  <c r="I144" i="1"/>
  <c r="D146" i="1"/>
  <c r="R249" i="1"/>
  <c r="BV403" i="1"/>
  <c r="BY403" i="1"/>
  <c r="D366" i="6"/>
  <c r="D486" i="1"/>
  <c r="D326" i="6"/>
  <c r="D147" i="1"/>
  <c r="D79" i="7"/>
  <c r="D368" i="6" l="1"/>
  <c r="D327" i="6"/>
  <c r="H450" i="7"/>
  <c r="H629" i="6"/>
  <c r="F450" i="7"/>
  <c r="F629" i="6"/>
  <c r="D80" i="7"/>
  <c r="D166" i="4"/>
  <c r="C167" i="4" s="1"/>
  <c r="F165" i="4"/>
  <c r="O165" i="4"/>
  <c r="I165" i="4"/>
  <c r="L165" i="4"/>
  <c r="D487" i="1"/>
  <c r="K309" i="4"/>
  <c r="L309" i="4" s="1"/>
  <c r="K276" i="4"/>
  <c r="K241" i="4"/>
  <c r="H276" i="4"/>
  <c r="D192" i="4"/>
  <c r="C193" i="4" s="1"/>
  <c r="D310" i="4"/>
  <c r="C311" i="4" s="1"/>
  <c r="D242" i="4"/>
  <c r="C243" i="4" s="1"/>
  <c r="H309" i="4"/>
  <c r="H310" i="4" s="1"/>
  <c r="H241" i="4"/>
  <c r="D276" i="4"/>
  <c r="H277" i="4" s="1"/>
  <c r="F318" i="7"/>
  <c r="CL391" i="1"/>
  <c r="BZ401" i="1"/>
  <c r="S220" i="1"/>
  <c r="H145" i="1"/>
  <c r="J144" i="1"/>
  <c r="CD399" i="1"/>
  <c r="CE399" i="1"/>
  <c r="CG399" i="1" s="1"/>
  <c r="CA402" i="1"/>
  <c r="CC402" i="1" s="1"/>
  <c r="CD402" i="1" s="1"/>
  <c r="CA401" i="1"/>
  <c r="CC401" i="1" s="1"/>
  <c r="CD401" i="1" s="1"/>
  <c r="CI400" i="1"/>
  <c r="CC398" i="1"/>
  <c r="BX404" i="1"/>
  <c r="CQ392" i="1"/>
  <c r="CS392" i="1" s="1"/>
  <c r="CT392" i="1" s="1"/>
  <c r="I514" i="6"/>
  <c r="G75" i="6"/>
  <c r="G318" i="7" s="1"/>
  <c r="CM391" i="1"/>
  <c r="CO391" i="1" s="1"/>
  <c r="CO393" i="1"/>
  <c r="CP393" i="1" s="1"/>
  <c r="CU396" i="1"/>
  <c r="CW396" i="1" s="1"/>
  <c r="CM395" i="1"/>
  <c r="CO395" i="1" s="1"/>
  <c r="CQ397" i="1"/>
  <c r="CS397" i="1" s="1"/>
  <c r="CP389" i="1"/>
  <c r="CQ389" i="1"/>
  <c r="CS389" i="1" s="1"/>
  <c r="CT394" i="1"/>
  <c r="CP390" i="1"/>
  <c r="S225" i="1"/>
  <c r="T225" i="1" s="1"/>
  <c r="Z232" i="1"/>
  <c r="AA232" i="1" s="1"/>
  <c r="X222" i="1"/>
  <c r="X234" i="1"/>
  <c r="Y234" i="1" s="1"/>
  <c r="X229" i="1"/>
  <c r="Y229" i="1" s="1"/>
  <c r="X248" i="1"/>
  <c r="Y248" i="1" s="1"/>
  <c r="Z245" i="1"/>
  <c r="AA245" i="1" s="1"/>
  <c r="V233" i="1"/>
  <c r="W233" i="1" s="1"/>
  <c r="X231" i="1"/>
  <c r="Y231" i="1" s="1"/>
  <c r="X242" i="1"/>
  <c r="Y242" i="1" s="1"/>
  <c r="Z238" i="1"/>
  <c r="AA238" i="1" s="1"/>
  <c r="Z223" i="1"/>
  <c r="AA223" i="1" s="1"/>
  <c r="AB223" i="1" s="1"/>
  <c r="X241" i="1"/>
  <c r="Y241" i="1" s="1"/>
  <c r="X226" i="1"/>
  <c r="Y226" i="1" s="1"/>
  <c r="Z237" i="1"/>
  <c r="AA237" i="1" s="1"/>
  <c r="Z247" i="1"/>
  <c r="AA247" i="1" s="1"/>
  <c r="Z244" i="1"/>
  <c r="AA244" i="1" s="1"/>
  <c r="X227" i="1"/>
  <c r="Y227" i="1" s="1"/>
  <c r="X239" i="1"/>
  <c r="Y239" i="1" s="1"/>
  <c r="Z246" i="1"/>
  <c r="AA246" i="1" s="1"/>
  <c r="V240" i="1"/>
  <c r="W240" i="1" s="1"/>
  <c r="V235" i="1"/>
  <c r="W235" i="1" s="1"/>
  <c r="Z228" i="1"/>
  <c r="AA228" i="1" s="1"/>
  <c r="Z236" i="1"/>
  <c r="AA236" i="1" s="1"/>
  <c r="Z243" i="1"/>
  <c r="AA243" i="1" s="1"/>
  <c r="X224" i="1"/>
  <c r="Y224" i="1" s="1"/>
  <c r="Z230" i="1"/>
  <c r="AA230" i="1" s="1"/>
  <c r="M521" i="6"/>
  <c r="K522" i="6" s="1"/>
  <c r="E521" i="6"/>
  <c r="G146" i="1"/>
  <c r="E146" i="1"/>
  <c r="F145" i="1"/>
  <c r="I145" i="1"/>
  <c r="H190" i="4"/>
  <c r="K191" i="4" s="1"/>
  <c r="E366" i="6"/>
  <c r="E147" i="1"/>
  <c r="G326" i="6"/>
  <c r="E326" i="6"/>
  <c r="CC403" i="1"/>
  <c r="E79" i="7"/>
  <c r="G486" i="1"/>
  <c r="E486" i="1"/>
  <c r="G147" i="1"/>
  <c r="BZ403" i="1"/>
  <c r="E368" i="6" l="1"/>
  <c r="I450" i="7"/>
  <c r="I629" i="6"/>
  <c r="T220" i="1"/>
  <c r="E80" i="7"/>
  <c r="D167" i="4"/>
  <c r="C168" i="4" s="1"/>
  <c r="F166" i="4"/>
  <c r="O166" i="4"/>
  <c r="I166" i="4"/>
  <c r="L166" i="4"/>
  <c r="G487" i="1"/>
  <c r="G504" i="1" s="1"/>
  <c r="E487" i="1"/>
  <c r="K310" i="4"/>
  <c r="L310" i="4" s="1"/>
  <c r="K311" i="4" s="1"/>
  <c r="L276" i="4"/>
  <c r="C277" i="4"/>
  <c r="D277" i="4" s="1"/>
  <c r="H278" i="4" s="1"/>
  <c r="L241" i="4"/>
  <c r="H242" i="4"/>
  <c r="H311" i="4"/>
  <c r="D311" i="4"/>
  <c r="C312" i="4" s="1"/>
  <c r="D193" i="4"/>
  <c r="C194" i="4" s="1"/>
  <c r="D243" i="4"/>
  <c r="C244" i="4" s="1"/>
  <c r="CP391" i="1"/>
  <c r="CE398" i="1"/>
  <c r="CG398" i="1" s="1"/>
  <c r="Y222" i="1"/>
  <c r="Z222" i="1" s="1"/>
  <c r="G157" i="1"/>
  <c r="J145" i="1"/>
  <c r="G327" i="6"/>
  <c r="E508" i="6"/>
  <c r="I418" i="6"/>
  <c r="C419" i="6" s="1"/>
  <c r="CE401" i="1"/>
  <c r="CG401" i="1" s="1"/>
  <c r="CH401" i="1" s="1"/>
  <c r="CH399" i="1"/>
  <c r="CI399" i="1"/>
  <c r="CK399" i="1" s="1"/>
  <c r="CL399" i="1" s="1"/>
  <c r="CE402" i="1"/>
  <c r="CG402" i="1" s="1"/>
  <c r="CH402" i="1" s="1"/>
  <c r="CK400" i="1"/>
  <c r="CL400" i="1" s="1"/>
  <c r="CD398" i="1"/>
  <c r="CB404" i="1"/>
  <c r="E327" i="6"/>
  <c r="C76" i="6"/>
  <c r="E76" i="6" s="1"/>
  <c r="C515" i="6"/>
  <c r="G515" i="6" s="1"/>
  <c r="CQ393" i="1"/>
  <c r="CS393" i="1" s="1"/>
  <c r="CT393" i="1" s="1"/>
  <c r="CP395" i="1"/>
  <c r="CQ391" i="1"/>
  <c r="CS391" i="1" s="1"/>
  <c r="CX396" i="1"/>
  <c r="CU394" i="1"/>
  <c r="CW394" i="1" s="1"/>
  <c r="CQ390" i="1"/>
  <c r="CS390" i="1" s="1"/>
  <c r="CT389" i="1"/>
  <c r="CT397" i="1"/>
  <c r="CU392" i="1"/>
  <c r="CW392" i="1" s="1"/>
  <c r="U225" i="1"/>
  <c r="V225" i="1" s="1"/>
  <c r="Z248" i="1"/>
  <c r="AA248" i="1" s="1"/>
  <c r="Z229" i="1"/>
  <c r="AA229" i="1" s="1"/>
  <c r="Z242" i="1"/>
  <c r="AA242" i="1" s="1"/>
  <c r="Z226" i="1"/>
  <c r="AA226" i="1" s="1"/>
  <c r="Z227" i="1"/>
  <c r="AA227" i="1" s="1"/>
  <c r="Z241" i="1"/>
  <c r="AA241" i="1" s="1"/>
  <c r="X233" i="1"/>
  <c r="Y233" i="1" s="1"/>
  <c r="X235" i="1"/>
  <c r="Y235" i="1" s="1"/>
  <c r="AB232" i="1"/>
  <c r="AC232" i="1" s="1"/>
  <c r="AB230" i="1"/>
  <c r="AC230" i="1" s="1"/>
  <c r="Z234" i="1"/>
  <c r="AA234" i="1" s="1"/>
  <c r="Z224" i="1"/>
  <c r="AA224" i="1" s="1"/>
  <c r="AB237" i="1"/>
  <c r="AC237" i="1" s="1"/>
  <c r="AB236" i="1"/>
  <c r="AC236" i="1" s="1"/>
  <c r="X240" i="1"/>
  <c r="Y240" i="1" s="1"/>
  <c r="AB244" i="1"/>
  <c r="AC244" i="1" s="1"/>
  <c r="Z231" i="1"/>
  <c r="AA231" i="1" s="1"/>
  <c r="AB246" i="1"/>
  <c r="AC246" i="1" s="1"/>
  <c r="AB247" i="1"/>
  <c r="AC247" i="1" s="1"/>
  <c r="AB228" i="1"/>
  <c r="AC228" i="1" s="1"/>
  <c r="Z239" i="1"/>
  <c r="AA239" i="1" s="1"/>
  <c r="AB238" i="1"/>
  <c r="AC238" i="1" s="1"/>
  <c r="AB245" i="1"/>
  <c r="AC245" i="1" s="1"/>
  <c r="AB243" i="1"/>
  <c r="AC243" i="1" s="1"/>
  <c r="M522" i="6"/>
  <c r="K523" i="6" s="1"/>
  <c r="E522" i="6"/>
  <c r="H146" i="1"/>
  <c r="I146" i="1"/>
  <c r="F146" i="1"/>
  <c r="L191" i="4"/>
  <c r="CD403" i="1"/>
  <c r="I147" i="1"/>
  <c r="CG403" i="1"/>
  <c r="I326" i="6"/>
  <c r="I486" i="1"/>
  <c r="H326" i="6"/>
  <c r="F486" i="1"/>
  <c r="F366" i="6"/>
  <c r="H486" i="1"/>
  <c r="F326" i="6"/>
  <c r="T249" i="1"/>
  <c r="F79" i="7"/>
  <c r="E504" i="1" l="1"/>
  <c r="U220" i="1"/>
  <c r="D168" i="4"/>
  <c r="C169" i="4" s="1"/>
  <c r="O167" i="4"/>
  <c r="L167" i="4"/>
  <c r="I167" i="4"/>
  <c r="F167" i="4"/>
  <c r="I487" i="1"/>
  <c r="I504" i="1" s="1"/>
  <c r="L311" i="4"/>
  <c r="K312" i="4" s="1"/>
  <c r="L312" i="4" s="1"/>
  <c r="K277" i="4"/>
  <c r="C278" i="4"/>
  <c r="D278" i="4" s="1"/>
  <c r="H279" i="4" s="1"/>
  <c r="K242" i="4"/>
  <c r="D244" i="4"/>
  <c r="C245" i="4" s="1"/>
  <c r="H243" i="4"/>
  <c r="H312" i="4"/>
  <c r="D194" i="4"/>
  <c r="C195" i="4" s="1"/>
  <c r="D312" i="4"/>
  <c r="C313" i="4" s="1"/>
  <c r="C407" i="4"/>
  <c r="C362" i="4"/>
  <c r="F76" i="6"/>
  <c r="F508" i="6"/>
  <c r="I327" i="6"/>
  <c r="E388" i="6"/>
  <c r="CI401" i="1"/>
  <c r="CK401" i="1" s="1"/>
  <c r="CL401" i="1" s="1"/>
  <c r="CM400" i="1"/>
  <c r="CO400" i="1" s="1"/>
  <c r="CP400" i="1" s="1"/>
  <c r="CM399" i="1"/>
  <c r="CI402" i="1"/>
  <c r="CH398" i="1"/>
  <c r="CF404" i="1"/>
  <c r="CI398" i="1"/>
  <c r="G520" i="1"/>
  <c r="G417" i="7" s="1"/>
  <c r="F515" i="6"/>
  <c r="H515" i="6"/>
  <c r="CU397" i="1"/>
  <c r="CW397" i="1" s="1"/>
  <c r="CX392" i="1"/>
  <c r="CT391" i="1"/>
  <c r="CU390" i="1"/>
  <c r="CW390" i="1" s="1"/>
  <c r="CY396" i="1"/>
  <c r="DA396" i="1" s="1"/>
  <c r="CU393" i="1"/>
  <c r="CW393" i="1" s="1"/>
  <c r="CX394" i="1"/>
  <c r="CQ395" i="1"/>
  <c r="CS395" i="1" s="1"/>
  <c r="E520" i="1"/>
  <c r="E417" i="7" s="1"/>
  <c r="AD246" i="1"/>
  <c r="AE246" i="1" s="1"/>
  <c r="AD238" i="1"/>
  <c r="AE238" i="1" s="1"/>
  <c r="AB224" i="1"/>
  <c r="Z233" i="1"/>
  <c r="AA233" i="1" s="1"/>
  <c r="Z240" i="1"/>
  <c r="AA240" i="1" s="1"/>
  <c r="AD236" i="1"/>
  <c r="AE236" i="1" s="1"/>
  <c r="AB239" i="1"/>
  <c r="AC239" i="1" s="1"/>
  <c r="AB234" i="1"/>
  <c r="AC234" i="1" s="1"/>
  <c r="AB227" i="1"/>
  <c r="AC227" i="1" s="1"/>
  <c r="Z235" i="1"/>
  <c r="AA235" i="1" s="1"/>
  <c r="AB226" i="1"/>
  <c r="AC226" i="1" s="1"/>
  <c r="W225" i="1"/>
  <c r="AB242" i="1"/>
  <c r="AC242" i="1" s="1"/>
  <c r="AD243" i="1"/>
  <c r="AE243" i="1" s="1"/>
  <c r="AD228" i="1"/>
  <c r="AE228" i="1" s="1"/>
  <c r="AB231" i="1"/>
  <c r="AC231" i="1" s="1"/>
  <c r="AD230" i="1"/>
  <c r="AE230" i="1" s="1"/>
  <c r="AB241" i="1"/>
  <c r="AC241" i="1" s="1"/>
  <c r="AB229" i="1"/>
  <c r="AC229" i="1" s="1"/>
  <c r="AD245" i="1"/>
  <c r="AE245" i="1" s="1"/>
  <c r="AD247" i="1"/>
  <c r="AE247" i="1" s="1"/>
  <c r="AD244" i="1"/>
  <c r="AE244" i="1" s="1"/>
  <c r="AD237" i="1"/>
  <c r="AE237" i="1" s="1"/>
  <c r="AD232" i="1"/>
  <c r="AE232" i="1" s="1"/>
  <c r="AB248" i="1"/>
  <c r="AC248" i="1" s="1"/>
  <c r="M523" i="6"/>
  <c r="K524" i="6" s="1"/>
  <c r="E523" i="6"/>
  <c r="J146" i="1"/>
  <c r="H191" i="4"/>
  <c r="K192" i="4" s="1"/>
  <c r="J486" i="1"/>
  <c r="J326" i="6"/>
  <c r="CH403" i="1"/>
  <c r="F563" i="6" l="1"/>
  <c r="V220" i="1"/>
  <c r="D169" i="4"/>
  <c r="C170" i="4" s="1"/>
  <c r="F168" i="4"/>
  <c r="L168" i="4"/>
  <c r="O168" i="4"/>
  <c r="I168" i="4"/>
  <c r="D362" i="4"/>
  <c r="C363" i="4" s="1"/>
  <c r="D363" i="4" s="1"/>
  <c r="K313" i="4"/>
  <c r="L277" i="4"/>
  <c r="C279" i="4"/>
  <c r="D279" i="4" s="1"/>
  <c r="H280" i="4" s="1"/>
  <c r="L242" i="4"/>
  <c r="D313" i="4"/>
  <c r="C314" i="4" s="1"/>
  <c r="H313" i="4"/>
  <c r="H244" i="4"/>
  <c r="H245" i="4" s="1"/>
  <c r="D245" i="4"/>
  <c r="C246" i="4" s="1"/>
  <c r="D195" i="4"/>
  <c r="C196" i="4" s="1"/>
  <c r="I515" i="6"/>
  <c r="C516" i="6" s="1"/>
  <c r="G516" i="6" s="1"/>
  <c r="G76" i="6"/>
  <c r="C77" i="6" s="1"/>
  <c r="E77" i="6" s="1"/>
  <c r="AC224" i="1"/>
  <c r="AD224" i="1" s="1"/>
  <c r="F388" i="6"/>
  <c r="G171" i="7"/>
  <c r="F443" i="6"/>
  <c r="E171" i="7"/>
  <c r="D443" i="6"/>
  <c r="I419" i="6"/>
  <c r="C420" i="6" s="1"/>
  <c r="CM401" i="1"/>
  <c r="CO401" i="1" s="1"/>
  <c r="CP401" i="1" s="1"/>
  <c r="CO399" i="1"/>
  <c r="CP399" i="1" s="1"/>
  <c r="CQ400" i="1"/>
  <c r="CS400" i="1" s="1"/>
  <c r="CK402" i="1"/>
  <c r="CL402" i="1" s="1"/>
  <c r="CK398" i="1"/>
  <c r="D563" i="6"/>
  <c r="CX390" i="1"/>
  <c r="CX393" i="1"/>
  <c r="DB396" i="1"/>
  <c r="CU391" i="1"/>
  <c r="CW391" i="1" s="1"/>
  <c r="CT395" i="1"/>
  <c r="CY392" i="1"/>
  <c r="DA392" i="1" s="1"/>
  <c r="CT390" i="1"/>
  <c r="CY394" i="1"/>
  <c r="DA394" i="1" s="1"/>
  <c r="CX397" i="1"/>
  <c r="F520" i="1"/>
  <c r="AD231" i="1"/>
  <c r="AE231" i="1" s="1"/>
  <c r="AD227" i="1"/>
  <c r="AE227" i="1" s="1"/>
  <c r="AF247" i="1"/>
  <c r="AG247" i="1" s="1"/>
  <c r="AF246" i="1"/>
  <c r="AG246" i="1" s="1"/>
  <c r="AD248" i="1"/>
  <c r="AE248" i="1" s="1"/>
  <c r="AB235" i="1"/>
  <c r="AC235" i="1" s="1"/>
  <c r="AB240" i="1"/>
  <c r="AC240" i="1" s="1"/>
  <c r="AD242" i="1"/>
  <c r="AE242" i="1" s="1"/>
  <c r="AF230" i="1"/>
  <c r="AG230" i="1" s="1"/>
  <c r="AF237" i="1"/>
  <c r="AG237" i="1" s="1"/>
  <c r="AD239" i="1"/>
  <c r="AE239" i="1" s="1"/>
  <c r="AF228" i="1"/>
  <c r="AG228" i="1" s="1"/>
  <c r="AF232" i="1"/>
  <c r="AG232" i="1" s="1"/>
  <c r="AF245" i="1"/>
  <c r="AG245" i="1" s="1"/>
  <c r="AD234" i="1"/>
  <c r="AE234" i="1" s="1"/>
  <c r="AB233" i="1"/>
  <c r="AC233" i="1" s="1"/>
  <c r="X225" i="1"/>
  <c r="AD229" i="1"/>
  <c r="AE229" i="1" s="1"/>
  <c r="AF244" i="1"/>
  <c r="AG244" i="1" s="1"/>
  <c r="AF238" i="1"/>
  <c r="AG238" i="1" s="1"/>
  <c r="AF243" i="1"/>
  <c r="AG243" i="1" s="1"/>
  <c r="AD226" i="1"/>
  <c r="AE226" i="1" s="1"/>
  <c r="AD241" i="1"/>
  <c r="AE241" i="1" s="1"/>
  <c r="AF236" i="1"/>
  <c r="AG236" i="1" s="1"/>
  <c r="M524" i="6"/>
  <c r="K525" i="6" s="1"/>
  <c r="E524" i="6"/>
  <c r="I157" i="1"/>
  <c r="L192" i="4"/>
  <c r="V249" i="1"/>
  <c r="X249" i="1"/>
  <c r="CK403" i="1"/>
  <c r="C525" i="1" l="1"/>
  <c r="F417" i="7"/>
  <c r="C148" i="1"/>
  <c r="D170" i="4"/>
  <c r="C171" i="4" s="1"/>
  <c r="O169" i="4"/>
  <c r="F169" i="4"/>
  <c r="L169" i="4"/>
  <c r="I169" i="4"/>
  <c r="L313" i="4"/>
  <c r="K278" i="4"/>
  <c r="C280" i="4"/>
  <c r="D280" i="4" s="1"/>
  <c r="H281" i="4" s="1"/>
  <c r="K243" i="4"/>
  <c r="H314" i="4"/>
  <c r="H246" i="4"/>
  <c r="H315" i="4"/>
  <c r="D246" i="4"/>
  <c r="H247" i="4" s="1"/>
  <c r="D314" i="4"/>
  <c r="C315" i="4" s="1"/>
  <c r="D196" i="4"/>
  <c r="C197" i="4" s="1"/>
  <c r="D197" i="4" s="1"/>
  <c r="H516" i="6"/>
  <c r="I516" i="6" s="1"/>
  <c r="C517" i="6" s="1"/>
  <c r="G517" i="6" s="1"/>
  <c r="C364" i="4"/>
  <c r="D364" i="4" s="1"/>
  <c r="F516" i="6"/>
  <c r="F77" i="6"/>
  <c r="CM398" i="1"/>
  <c r="CO398" i="1" s="1"/>
  <c r="E443" i="6"/>
  <c r="D429" i="6" s="1"/>
  <c r="F171" i="7"/>
  <c r="C176" i="7"/>
  <c r="CT400" i="1"/>
  <c r="CU400" i="1"/>
  <c r="CW400" i="1" s="1"/>
  <c r="CX400" i="1" s="1"/>
  <c r="CQ401" i="1"/>
  <c r="CS401" i="1" s="1"/>
  <c r="CT401" i="1" s="1"/>
  <c r="CQ399" i="1"/>
  <c r="CL398" i="1"/>
  <c r="CJ404" i="1"/>
  <c r="CM402" i="1"/>
  <c r="E563" i="6"/>
  <c r="DC396" i="1"/>
  <c r="DE396" i="1" s="1"/>
  <c r="CY397" i="1"/>
  <c r="DA397" i="1" s="1"/>
  <c r="DB394" i="1"/>
  <c r="CY393" i="1"/>
  <c r="DA393" i="1" s="1"/>
  <c r="DB392" i="1"/>
  <c r="CU395" i="1"/>
  <c r="CW395" i="1" s="1"/>
  <c r="CY391" i="1"/>
  <c r="DA391" i="1" s="1"/>
  <c r="AH236" i="1"/>
  <c r="AI236" i="1" s="1"/>
  <c r="AF231" i="1"/>
  <c r="AG231" i="1" s="1"/>
  <c r="AF248" i="1"/>
  <c r="AG248" i="1" s="1"/>
  <c r="AD233" i="1"/>
  <c r="AE233" i="1" s="1"/>
  <c r="AF234" i="1"/>
  <c r="AG234" i="1" s="1"/>
  <c r="AH238" i="1"/>
  <c r="AI238" i="1" s="1"/>
  <c r="AF226" i="1"/>
  <c r="AG226" i="1" s="1"/>
  <c r="AH226" i="1" s="1"/>
  <c r="AF239" i="1"/>
  <c r="AG239" i="1" s="1"/>
  <c r="AH243" i="1"/>
  <c r="AI243" i="1" s="1"/>
  <c r="AH237" i="1"/>
  <c r="AI237" i="1" s="1"/>
  <c r="AF241" i="1"/>
  <c r="AG241" i="1" s="1"/>
  <c r="AH244" i="1"/>
  <c r="AI244" i="1" s="1"/>
  <c r="AH228" i="1"/>
  <c r="AI228" i="1" s="1"/>
  <c r="AF242" i="1"/>
  <c r="AG242" i="1" s="1"/>
  <c r="AH246" i="1"/>
  <c r="AI246" i="1" s="1"/>
  <c r="AH247" i="1"/>
  <c r="AI247" i="1" s="1"/>
  <c r="AF229" i="1"/>
  <c r="AG229" i="1" s="1"/>
  <c r="AD235" i="1"/>
  <c r="AE235" i="1" s="1"/>
  <c r="AH232" i="1"/>
  <c r="AI232" i="1" s="1"/>
  <c r="Y225" i="1"/>
  <c r="AH230" i="1"/>
  <c r="AI230" i="1" s="1"/>
  <c r="AD240" i="1"/>
  <c r="AE240" i="1" s="1"/>
  <c r="AH245" i="1"/>
  <c r="AI245" i="1" s="1"/>
  <c r="AF227" i="1"/>
  <c r="AG227" i="1" s="1"/>
  <c r="K157" i="1"/>
  <c r="M525" i="6"/>
  <c r="K526" i="6" s="1"/>
  <c r="E525" i="6"/>
  <c r="H192" i="4"/>
  <c r="K193" i="4" s="1"/>
  <c r="CL403" i="1"/>
  <c r="H72" i="1" l="1"/>
  <c r="K72" i="1"/>
  <c r="K69" i="1"/>
  <c r="H69" i="1"/>
  <c r="D171" i="4"/>
  <c r="C172" i="4" s="1"/>
  <c r="O170" i="4"/>
  <c r="I170" i="4"/>
  <c r="F170" i="4"/>
  <c r="L170" i="4"/>
  <c r="K314" i="4"/>
  <c r="L278" i="4"/>
  <c r="C281" i="4"/>
  <c r="D281" i="4" s="1"/>
  <c r="H282" i="4" s="1"/>
  <c r="L243" i="4"/>
  <c r="C247" i="4"/>
  <c r="D247" i="4" s="1"/>
  <c r="H248" i="4" s="1"/>
  <c r="H249" i="4" s="1"/>
  <c r="H256" i="4" s="1"/>
  <c r="H260" i="4" s="1"/>
  <c r="D198" i="4"/>
  <c r="D205" i="4" s="1"/>
  <c r="D209" i="4" s="1"/>
  <c r="D315" i="4"/>
  <c r="H316" i="4" s="1"/>
  <c r="F517" i="6"/>
  <c r="C365" i="4"/>
  <c r="H517" i="6"/>
  <c r="G77" i="6"/>
  <c r="C78" i="6" s="1"/>
  <c r="E78" i="6" s="1"/>
  <c r="CQ398" i="1"/>
  <c r="CS398" i="1" s="1"/>
  <c r="I420" i="6"/>
  <c r="C421" i="6" s="1"/>
  <c r="CU401" i="1"/>
  <c r="CS399" i="1"/>
  <c r="CT399" i="1" s="1"/>
  <c r="CO402" i="1"/>
  <c r="CP398" i="1"/>
  <c r="CY400" i="1"/>
  <c r="DC394" i="1"/>
  <c r="DB391" i="1"/>
  <c r="DB393" i="1"/>
  <c r="CX391" i="1"/>
  <c r="DB397" i="1"/>
  <c r="DC392" i="1"/>
  <c r="DE392" i="1" s="1"/>
  <c r="CX395" i="1"/>
  <c r="DF396" i="1"/>
  <c r="AH234" i="1"/>
  <c r="AI234" i="1" s="1"/>
  <c r="AJ230" i="1"/>
  <c r="AK230" i="1" s="1"/>
  <c r="AJ236" i="1"/>
  <c r="AK236" i="1" s="1"/>
  <c r="AJ243" i="1"/>
  <c r="AK243" i="1" s="1"/>
  <c r="AJ228" i="1"/>
  <c r="AK228" i="1" s="1"/>
  <c r="AL228" i="1" s="1"/>
  <c r="AH239" i="1"/>
  <c r="AI239" i="1" s="1"/>
  <c r="AH229" i="1"/>
  <c r="AI229" i="1" s="1"/>
  <c r="AH231" i="1"/>
  <c r="AI231" i="1" s="1"/>
  <c r="AJ247" i="1"/>
  <c r="AK247" i="1" s="1"/>
  <c r="AJ244" i="1"/>
  <c r="AK244" i="1" s="1"/>
  <c r="AF233" i="1"/>
  <c r="AG233" i="1" s="1"/>
  <c r="Z225" i="1"/>
  <c r="AJ245" i="1"/>
  <c r="AK245" i="1" s="1"/>
  <c r="AF235" i="1"/>
  <c r="AG235" i="1" s="1"/>
  <c r="AJ237" i="1"/>
  <c r="AK237" i="1" s="1"/>
  <c r="AJ238" i="1"/>
  <c r="AK238" i="1" s="1"/>
  <c r="AF240" i="1"/>
  <c r="AG240" i="1" s="1"/>
  <c r="AH227" i="1"/>
  <c r="AJ232" i="1"/>
  <c r="AK232" i="1" s="1"/>
  <c r="AJ246" i="1"/>
  <c r="AK246" i="1" s="1"/>
  <c r="AH241" i="1"/>
  <c r="AI241" i="1" s="1"/>
  <c r="AH248" i="1"/>
  <c r="AI248" i="1" s="1"/>
  <c r="AH242" i="1"/>
  <c r="AI242" i="1" s="1"/>
  <c r="M526" i="6"/>
  <c r="K527" i="6" s="1"/>
  <c r="E526" i="6"/>
  <c r="L193" i="4"/>
  <c r="Z249" i="1"/>
  <c r="CO403" i="1"/>
  <c r="D172" i="4" l="1"/>
  <c r="C173" i="4" s="1"/>
  <c r="I171" i="4"/>
  <c r="L171" i="4"/>
  <c r="F171" i="4"/>
  <c r="O171" i="4"/>
  <c r="D365" i="4"/>
  <c r="L314" i="4"/>
  <c r="C316" i="4"/>
  <c r="D316" i="4" s="1"/>
  <c r="H317" i="4" s="1"/>
  <c r="K279" i="4"/>
  <c r="C282" i="4"/>
  <c r="D282" i="4" s="1"/>
  <c r="H283" i="4" s="1"/>
  <c r="H284" i="4" s="1"/>
  <c r="K244" i="4"/>
  <c r="C248" i="4"/>
  <c r="D248" i="4" s="1"/>
  <c r="D249" i="4" s="1"/>
  <c r="D256" i="4" s="1"/>
  <c r="D260" i="4" s="1"/>
  <c r="I517" i="6"/>
  <c r="C518" i="6" s="1"/>
  <c r="G518" i="6" s="1"/>
  <c r="H518" i="6" s="1"/>
  <c r="F78" i="6"/>
  <c r="CU398" i="1"/>
  <c r="CW398" i="1" s="1"/>
  <c r="CP402" i="1"/>
  <c r="AI227" i="1"/>
  <c r="AJ227" i="1" s="1"/>
  <c r="CW401" i="1"/>
  <c r="CX401" i="1" s="1"/>
  <c r="CU399" i="1"/>
  <c r="CW399" i="1" s="1"/>
  <c r="CX399" i="1" s="1"/>
  <c r="CQ402" i="1"/>
  <c r="CS402" i="1" s="1"/>
  <c r="CN404" i="1"/>
  <c r="CT398" i="1"/>
  <c r="DA400" i="1"/>
  <c r="DB400" i="1" s="1"/>
  <c r="DE394" i="1"/>
  <c r="DF394" i="1" s="1"/>
  <c r="DG396" i="1"/>
  <c r="DI396" i="1" s="1"/>
  <c r="DC393" i="1"/>
  <c r="DE393" i="1" s="1"/>
  <c r="DC397" i="1"/>
  <c r="DE397" i="1" s="1"/>
  <c r="CY395" i="1"/>
  <c r="DA395" i="1" s="1"/>
  <c r="DF392" i="1"/>
  <c r="AA225" i="1"/>
  <c r="AL232" i="1"/>
  <c r="AM232" i="1" s="1"/>
  <c r="AJ234" i="1"/>
  <c r="AK234" i="1" s="1"/>
  <c r="AJ242" i="1"/>
  <c r="AK242" i="1" s="1"/>
  <c r="AL247" i="1"/>
  <c r="AM247" i="1" s="1"/>
  <c r="AL237" i="1"/>
  <c r="AM237" i="1" s="1"/>
  <c r="AH235" i="1"/>
  <c r="AI235" i="1" s="1"/>
  <c r="AL244" i="1"/>
  <c r="AM244" i="1" s="1"/>
  <c r="AJ239" i="1"/>
  <c r="AK239" i="1" s="1"/>
  <c r="AJ241" i="1"/>
  <c r="AK241" i="1" s="1"/>
  <c r="AH240" i="1"/>
  <c r="AI240" i="1" s="1"/>
  <c r="AL245" i="1"/>
  <c r="AM245" i="1" s="1"/>
  <c r="AL246" i="1"/>
  <c r="AM246" i="1" s="1"/>
  <c r="AL238" i="1"/>
  <c r="AM238" i="1" s="1"/>
  <c r="AJ231" i="1"/>
  <c r="AK231" i="1" s="1"/>
  <c r="AL243" i="1"/>
  <c r="AM243" i="1" s="1"/>
  <c r="AJ229" i="1"/>
  <c r="AH233" i="1"/>
  <c r="AL236" i="1"/>
  <c r="AM236" i="1" s="1"/>
  <c r="AJ248" i="1"/>
  <c r="AK248" i="1" s="1"/>
  <c r="AL230" i="1"/>
  <c r="AM230" i="1" s="1"/>
  <c r="M527" i="6"/>
  <c r="K528" i="6" s="1"/>
  <c r="E527" i="6"/>
  <c r="H193" i="4"/>
  <c r="K194" i="4" s="1"/>
  <c r="CS403" i="1"/>
  <c r="AH249" i="1"/>
  <c r="CP403" i="1"/>
  <c r="AB225" i="1" l="1"/>
  <c r="AC225" i="1" s="1"/>
  <c r="AD225" i="1" s="1"/>
  <c r="G163" i="4"/>
  <c r="G171" i="4" s="1"/>
  <c r="D173" i="4"/>
  <c r="J164" i="4" s="1"/>
  <c r="J172" i="4" s="1"/>
  <c r="O172" i="4"/>
  <c r="L172" i="4"/>
  <c r="F172" i="4"/>
  <c r="F173" i="4" s="1"/>
  <c r="I172" i="4"/>
  <c r="C366" i="4"/>
  <c r="D366" i="4" s="1"/>
  <c r="H291" i="4"/>
  <c r="H295" i="4" s="1"/>
  <c r="E256" i="4"/>
  <c r="K315" i="4"/>
  <c r="C317" i="4"/>
  <c r="D317" i="4" s="1"/>
  <c r="H318" i="4" s="1"/>
  <c r="H319" i="4" s="1"/>
  <c r="L279" i="4"/>
  <c r="K280" i="4" s="1"/>
  <c r="C283" i="4"/>
  <c r="D283" i="4" s="1"/>
  <c r="D284" i="4" s="1"/>
  <c r="D291" i="4" s="1"/>
  <c r="D295" i="4" s="1"/>
  <c r="L244" i="4"/>
  <c r="I518" i="6"/>
  <c r="C519" i="6" s="1"/>
  <c r="G519" i="6" s="1"/>
  <c r="F519" i="6" s="1"/>
  <c r="F518" i="6"/>
  <c r="G78" i="6"/>
  <c r="C79" i="6" s="1"/>
  <c r="E79" i="6" s="1"/>
  <c r="CT402" i="1"/>
  <c r="CX398" i="1"/>
  <c r="AI233" i="1"/>
  <c r="AJ233" i="1" s="1"/>
  <c r="I421" i="6"/>
  <c r="C422" i="6" s="1"/>
  <c r="CY399" i="1"/>
  <c r="DA399" i="1" s="1"/>
  <c r="DB399" i="1" s="1"/>
  <c r="CY401" i="1"/>
  <c r="DA401" i="1" s="1"/>
  <c r="DB401" i="1" s="1"/>
  <c r="DC400" i="1"/>
  <c r="DE400" i="1" s="1"/>
  <c r="DF400" i="1" s="1"/>
  <c r="CY398" i="1"/>
  <c r="DA398" i="1" s="1"/>
  <c r="CU402" i="1"/>
  <c r="CR404" i="1"/>
  <c r="DG394" i="1"/>
  <c r="DI394" i="1" s="1"/>
  <c r="DJ394" i="1" s="1"/>
  <c r="DJ396" i="1"/>
  <c r="DF397" i="1"/>
  <c r="AN230" i="1"/>
  <c r="AO230" i="1" s="1"/>
  <c r="AP230" i="1" s="1"/>
  <c r="AL241" i="1"/>
  <c r="AM241" i="1" s="1"/>
  <c r="AN238" i="1"/>
  <c r="AO238" i="1" s="1"/>
  <c r="AN247" i="1"/>
  <c r="AO247" i="1" s="1"/>
  <c r="AL234" i="1"/>
  <c r="AM234" i="1" s="1"/>
  <c r="AK229" i="1"/>
  <c r="AN236" i="1"/>
  <c r="AO236" i="1" s="1"/>
  <c r="AN245" i="1"/>
  <c r="AO245" i="1" s="1"/>
  <c r="AJ240" i="1"/>
  <c r="AK240" i="1" s="1"/>
  <c r="AJ235" i="1"/>
  <c r="AK235" i="1" s="1"/>
  <c r="AL242" i="1"/>
  <c r="AM242" i="1" s="1"/>
  <c r="AN237" i="1"/>
  <c r="AO237" i="1" s="1"/>
  <c r="AL248" i="1"/>
  <c r="AM248" i="1" s="1"/>
  <c r="AN243" i="1"/>
  <c r="AO243" i="1" s="1"/>
  <c r="AN246" i="1"/>
  <c r="AO246" i="1" s="1"/>
  <c r="AL239" i="1"/>
  <c r="AM239" i="1" s="1"/>
  <c r="AN232" i="1"/>
  <c r="AO232" i="1" s="1"/>
  <c r="AL231" i="1"/>
  <c r="AM231" i="1" s="1"/>
  <c r="AN244" i="1"/>
  <c r="AO244" i="1" s="1"/>
  <c r="M528" i="6"/>
  <c r="K529" i="6" s="1"/>
  <c r="E528" i="6"/>
  <c r="L194" i="4"/>
  <c r="CT403" i="1"/>
  <c r="AB249" i="1"/>
  <c r="AD249" i="1"/>
  <c r="AJ249" i="1"/>
  <c r="C174" i="4" l="1"/>
  <c r="D174" i="4" s="1"/>
  <c r="C175" i="4" s="1"/>
  <c r="D175" i="4" s="1"/>
  <c r="C367" i="4"/>
  <c r="D367" i="4" s="1"/>
  <c r="L173" i="4"/>
  <c r="O173" i="4"/>
  <c r="I173" i="4"/>
  <c r="I174" i="4" s="1"/>
  <c r="I291" i="4"/>
  <c r="H326" i="4"/>
  <c r="H330" i="4" s="1"/>
  <c r="E291" i="4"/>
  <c r="L315" i="4"/>
  <c r="C318" i="4"/>
  <c r="D318" i="4" s="1"/>
  <c r="D319" i="4" s="1"/>
  <c r="L280" i="4"/>
  <c r="K281" i="4" s="1"/>
  <c r="K245" i="4"/>
  <c r="H519" i="6"/>
  <c r="F79" i="6"/>
  <c r="DB398" i="1"/>
  <c r="AK233" i="1"/>
  <c r="AL233" i="1" s="1"/>
  <c r="AM233" i="1" s="1"/>
  <c r="DC399" i="1"/>
  <c r="DE399" i="1" s="1"/>
  <c r="DF399" i="1" s="1"/>
  <c r="DC401" i="1"/>
  <c r="DE401" i="1" s="1"/>
  <c r="DF401" i="1" s="1"/>
  <c r="DG400" i="1"/>
  <c r="DI400" i="1" s="1"/>
  <c r="DJ400" i="1" s="1"/>
  <c r="DK394" i="1"/>
  <c r="DM394" i="1" s="1"/>
  <c r="DC398" i="1"/>
  <c r="DE398" i="1" s="1"/>
  <c r="DF398" i="1" s="1"/>
  <c r="CW402" i="1"/>
  <c r="DF393" i="1"/>
  <c r="DG393" i="1"/>
  <c r="DI393" i="1" s="1"/>
  <c r="DB395" i="1"/>
  <c r="DC395" i="1"/>
  <c r="DE395" i="1" s="1"/>
  <c r="DG397" i="1"/>
  <c r="DI397" i="1" s="1"/>
  <c r="DK396" i="1"/>
  <c r="DM396" i="1" s="1"/>
  <c r="AP245" i="1"/>
  <c r="AQ245" i="1" s="1"/>
  <c r="AN242" i="1"/>
  <c r="AO242" i="1" s="1"/>
  <c r="AP246" i="1"/>
  <c r="AQ246" i="1" s="1"/>
  <c r="AP244" i="1"/>
  <c r="AQ244" i="1" s="1"/>
  <c r="AN241" i="1"/>
  <c r="AO241" i="1" s="1"/>
  <c r="AP247" i="1"/>
  <c r="AQ247" i="1" s="1"/>
  <c r="AN231" i="1"/>
  <c r="AO231" i="1" s="1"/>
  <c r="AP243" i="1"/>
  <c r="AQ243" i="1" s="1"/>
  <c r="AL235" i="1"/>
  <c r="AM235" i="1" s="1"/>
  <c r="AP236" i="1"/>
  <c r="AQ236" i="1" s="1"/>
  <c r="AP238" i="1"/>
  <c r="AQ238" i="1" s="1"/>
  <c r="AP232" i="1"/>
  <c r="AQ232" i="1" s="1"/>
  <c r="AN248" i="1"/>
  <c r="AO248" i="1" s="1"/>
  <c r="AL240" i="1"/>
  <c r="AM240" i="1" s="1"/>
  <c r="AL229" i="1"/>
  <c r="AE225" i="1"/>
  <c r="AN239" i="1"/>
  <c r="AO239" i="1" s="1"/>
  <c r="AP237" i="1"/>
  <c r="AQ237" i="1" s="1"/>
  <c r="AN234" i="1"/>
  <c r="AO234" i="1" s="1"/>
  <c r="M529" i="6"/>
  <c r="K530" i="6" s="1"/>
  <c r="E529" i="6"/>
  <c r="H194" i="4"/>
  <c r="K195" i="4" s="1"/>
  <c r="CW403" i="1"/>
  <c r="AL249" i="1"/>
  <c r="AF225" i="1" l="1"/>
  <c r="C368" i="4"/>
  <c r="D368" i="4" s="1"/>
  <c r="M165" i="4"/>
  <c r="M173" i="4" s="1"/>
  <c r="P166" i="4"/>
  <c r="P174" i="4" s="1"/>
  <c r="O175" i="4"/>
  <c r="O174" i="4"/>
  <c r="L174" i="4"/>
  <c r="L175" i="4" s="1"/>
  <c r="D176" i="4"/>
  <c r="I326" i="4"/>
  <c r="D326" i="4"/>
  <c r="D330" i="4" s="1"/>
  <c r="K316" i="4"/>
  <c r="L281" i="4"/>
  <c r="K282" i="4" s="1"/>
  <c r="L245" i="4"/>
  <c r="I519" i="6"/>
  <c r="C520" i="6" s="1"/>
  <c r="G79" i="6"/>
  <c r="C80" i="6" s="1"/>
  <c r="E80" i="6" s="1"/>
  <c r="CY402" i="1"/>
  <c r="DA402" i="1" s="1"/>
  <c r="DN394" i="1"/>
  <c r="AM229" i="1"/>
  <c r="AN229" i="1" s="1"/>
  <c r="DG399" i="1"/>
  <c r="DI399" i="1" s="1"/>
  <c r="DJ399" i="1" s="1"/>
  <c r="I422" i="6"/>
  <c r="C423" i="6" s="1"/>
  <c r="DG401" i="1"/>
  <c r="DI401" i="1" s="1"/>
  <c r="DJ401" i="1" s="1"/>
  <c r="DG398" i="1"/>
  <c r="DI398" i="1" s="1"/>
  <c r="DJ398" i="1" s="1"/>
  <c r="DK400" i="1"/>
  <c r="DM400" i="1" s="1"/>
  <c r="DN400" i="1" s="1"/>
  <c r="CX402" i="1"/>
  <c r="CV404" i="1"/>
  <c r="DJ397" i="1"/>
  <c r="DJ393" i="1"/>
  <c r="DN396" i="1"/>
  <c r="AN235" i="1"/>
  <c r="AO235" i="1" s="1"/>
  <c r="AR237" i="1"/>
  <c r="AS237" i="1" s="1"/>
  <c r="AP248" i="1"/>
  <c r="AQ248" i="1" s="1"/>
  <c r="AP241" i="1"/>
  <c r="AQ241" i="1" s="1"/>
  <c r="AP234" i="1"/>
  <c r="AQ234" i="1" s="1"/>
  <c r="AP239" i="1"/>
  <c r="AQ239" i="1" s="1"/>
  <c r="AR232" i="1"/>
  <c r="AS232" i="1" s="1"/>
  <c r="AT232" i="1" s="1"/>
  <c r="AR243" i="1"/>
  <c r="AS243" i="1" s="1"/>
  <c r="AR244" i="1"/>
  <c r="AS244" i="1" s="1"/>
  <c r="AR238" i="1"/>
  <c r="AS238" i="1" s="1"/>
  <c r="AP231" i="1"/>
  <c r="AR246" i="1"/>
  <c r="AS246" i="1" s="1"/>
  <c r="AN233" i="1"/>
  <c r="AO233" i="1" s="1"/>
  <c r="AN240" i="1"/>
  <c r="AO240" i="1" s="1"/>
  <c r="AR236" i="1"/>
  <c r="AS236" i="1" s="1"/>
  <c r="AR247" i="1"/>
  <c r="AS247" i="1" s="1"/>
  <c r="AP242" i="1"/>
  <c r="AQ242" i="1" s="1"/>
  <c r="AR245" i="1"/>
  <c r="AS245" i="1" s="1"/>
  <c r="M530" i="6"/>
  <c r="K531" i="6" s="1"/>
  <c r="E530" i="6"/>
  <c r="L195" i="4"/>
  <c r="CX403" i="1"/>
  <c r="AN249" i="1"/>
  <c r="AF249" i="1"/>
  <c r="DA403" i="1"/>
  <c r="C369" i="4" l="1"/>
  <c r="D369" i="4" s="1"/>
  <c r="O176" i="4"/>
  <c r="E326" i="4"/>
  <c r="L316" i="4"/>
  <c r="L282" i="4"/>
  <c r="K283" i="4" s="1"/>
  <c r="K246" i="4"/>
  <c r="G520" i="6"/>
  <c r="F80" i="6"/>
  <c r="DC402" i="1"/>
  <c r="DE402" i="1" s="1"/>
  <c r="AQ231" i="1"/>
  <c r="DK401" i="1"/>
  <c r="DM401" i="1" s="1"/>
  <c r="DN401" i="1" s="1"/>
  <c r="DK398" i="1"/>
  <c r="DM398" i="1" s="1"/>
  <c r="DN398" i="1" s="1"/>
  <c r="DO400" i="1"/>
  <c r="DQ400" i="1" s="1"/>
  <c r="DR400" i="1" s="1"/>
  <c r="DB402" i="1"/>
  <c r="CZ404" i="1"/>
  <c r="DF395" i="1"/>
  <c r="DO396" i="1"/>
  <c r="DQ396" i="1" s="1"/>
  <c r="DK399" i="1"/>
  <c r="DM399" i="1" s="1"/>
  <c r="DG395" i="1"/>
  <c r="DI395" i="1" s="1"/>
  <c r="DK397" i="1"/>
  <c r="DM397" i="1" s="1"/>
  <c r="AT246" i="1"/>
  <c r="AU246" i="1" s="1"/>
  <c r="AT236" i="1"/>
  <c r="AU236" i="1" s="1"/>
  <c r="AT243" i="1"/>
  <c r="AU243" i="1" s="1"/>
  <c r="AR241" i="1"/>
  <c r="AS241" i="1" s="1"/>
  <c r="AT245" i="1"/>
  <c r="AU245" i="1" s="1"/>
  <c r="AP240" i="1"/>
  <c r="AQ240" i="1" s="1"/>
  <c r="AT238" i="1"/>
  <c r="AU238" i="1" s="1"/>
  <c r="AR239" i="1"/>
  <c r="AS239" i="1" s="1"/>
  <c r="AT237" i="1"/>
  <c r="AU237" i="1" s="1"/>
  <c r="AT244" i="1"/>
  <c r="AU244" i="1" s="1"/>
  <c r="AR234" i="1"/>
  <c r="AS234" i="1" s="1"/>
  <c r="AP235" i="1"/>
  <c r="AQ235" i="1" s="1"/>
  <c r="AR248" i="1"/>
  <c r="AS248" i="1" s="1"/>
  <c r="AR242" i="1"/>
  <c r="AS242" i="1" s="1"/>
  <c r="AP233" i="1"/>
  <c r="AT247" i="1"/>
  <c r="AU247" i="1" s="1"/>
  <c r="M531" i="6"/>
  <c r="K532" i="6" s="1"/>
  <c r="E531" i="6"/>
  <c r="H195" i="4"/>
  <c r="K196" i="4" s="1"/>
  <c r="DB403" i="1"/>
  <c r="AP249" i="1"/>
  <c r="DE403" i="1"/>
  <c r="C370" i="4" l="1"/>
  <c r="D370" i="4" s="1"/>
  <c r="AR231" i="1"/>
  <c r="K317" i="4"/>
  <c r="L283" i="4"/>
  <c r="L284" i="4" s="1"/>
  <c r="L291" i="4" s="1"/>
  <c r="L246" i="4"/>
  <c r="H520" i="6"/>
  <c r="F520" i="6"/>
  <c r="G80" i="6"/>
  <c r="C81" i="6" s="1"/>
  <c r="E81" i="6" s="1"/>
  <c r="DF402" i="1"/>
  <c r="AQ233" i="1"/>
  <c r="AR233" i="1" s="1"/>
  <c r="I423" i="6"/>
  <c r="C424" i="6" s="1"/>
  <c r="DO401" i="1"/>
  <c r="DQ401" i="1" s="1"/>
  <c r="DR401" i="1" s="1"/>
  <c r="DG402" i="1"/>
  <c r="DS400" i="1"/>
  <c r="DO398" i="1"/>
  <c r="DQ398" i="1" s="1"/>
  <c r="DR398" i="1" s="1"/>
  <c r="DD404" i="1"/>
  <c r="DR396" i="1"/>
  <c r="DK395" i="1"/>
  <c r="DM395" i="1" s="1"/>
  <c r="DN397" i="1"/>
  <c r="DN399" i="1"/>
  <c r="AT248" i="1"/>
  <c r="AU248" i="1" s="1"/>
  <c r="AR240" i="1"/>
  <c r="AS240" i="1" s="1"/>
  <c r="AT241" i="1"/>
  <c r="AU241" i="1" s="1"/>
  <c r="AT242" i="1"/>
  <c r="AU242" i="1" s="1"/>
  <c r="AV244" i="1"/>
  <c r="AW244" i="1" s="1"/>
  <c r="AV243" i="1"/>
  <c r="AW243" i="1" s="1"/>
  <c r="AT234" i="1"/>
  <c r="AU234" i="1" s="1"/>
  <c r="AV237" i="1"/>
  <c r="AW237" i="1" s="1"/>
  <c r="AV236" i="1"/>
  <c r="AW236" i="1" s="1"/>
  <c r="AV247" i="1"/>
  <c r="AW247" i="1" s="1"/>
  <c r="AR235" i="1"/>
  <c r="AS235" i="1" s="1"/>
  <c r="AT239" i="1"/>
  <c r="AU239" i="1" s="1"/>
  <c r="AV246" i="1"/>
  <c r="AW246" i="1" s="1"/>
  <c r="AV238" i="1"/>
  <c r="AW238" i="1" s="1"/>
  <c r="AV245" i="1"/>
  <c r="AW245" i="1" s="1"/>
  <c r="E532" i="6"/>
  <c r="M532" i="6"/>
  <c r="K533" i="6" s="1"/>
  <c r="L196" i="4"/>
  <c r="DF403" i="1"/>
  <c r="AR249" i="1"/>
  <c r="C371" i="4" l="1"/>
  <c r="D371" i="4" s="1"/>
  <c r="L317" i="4"/>
  <c r="M291" i="4"/>
  <c r="K247" i="4"/>
  <c r="I520" i="6"/>
  <c r="C521" i="6" s="1"/>
  <c r="F81" i="6"/>
  <c r="AS233" i="1"/>
  <c r="DS401" i="1"/>
  <c r="DU401" i="1" s="1"/>
  <c r="DV401" i="1" s="1"/>
  <c r="DI402" i="1"/>
  <c r="DU400" i="1"/>
  <c r="DV400" i="1" s="1"/>
  <c r="DS398" i="1"/>
  <c r="DU398" i="1" s="1"/>
  <c r="DO399" i="1"/>
  <c r="DQ399" i="1" s="1"/>
  <c r="DJ395" i="1"/>
  <c r="DO397" i="1"/>
  <c r="DQ397" i="1" s="1"/>
  <c r="DS396" i="1"/>
  <c r="DU396" i="1" s="1"/>
  <c r="AX245" i="1"/>
  <c r="AY245" i="1" s="1"/>
  <c r="AT235" i="1"/>
  <c r="AU235" i="1" s="1"/>
  <c r="AV234" i="1"/>
  <c r="AW234" i="1" s="1"/>
  <c r="AX234" i="1" s="1"/>
  <c r="AV241" i="1"/>
  <c r="AW241" i="1" s="1"/>
  <c r="AX247" i="1"/>
  <c r="AY247" i="1" s="1"/>
  <c r="AT240" i="1"/>
  <c r="AU240" i="1" s="1"/>
  <c r="AX243" i="1"/>
  <c r="AY243" i="1" s="1"/>
  <c r="AX246" i="1"/>
  <c r="AY246" i="1" s="1"/>
  <c r="AX236" i="1"/>
  <c r="AY236" i="1" s="1"/>
  <c r="AX244" i="1"/>
  <c r="AY244" i="1" s="1"/>
  <c r="AV239" i="1"/>
  <c r="AW239" i="1" s="1"/>
  <c r="AV242" i="1"/>
  <c r="AW242" i="1" s="1"/>
  <c r="AV248" i="1"/>
  <c r="AW248" i="1" s="1"/>
  <c r="AX238" i="1"/>
  <c r="AY238" i="1" s="1"/>
  <c r="AX237" i="1"/>
  <c r="AY237" i="1" s="1"/>
  <c r="M533" i="6"/>
  <c r="K534" i="6" s="1"/>
  <c r="E533" i="6"/>
  <c r="H196" i="4"/>
  <c r="K197" i="4" s="1"/>
  <c r="DI403" i="1"/>
  <c r="C372" i="4" l="1"/>
  <c r="D372" i="4" s="1"/>
  <c r="C373" i="4" s="1"/>
  <c r="AT233" i="1"/>
  <c r="AU233" i="1" s="1"/>
  <c r="AV233" i="1" s="1"/>
  <c r="K318" i="4"/>
  <c r="L318" i="4" s="1"/>
  <c r="L319" i="4" s="1"/>
  <c r="L326" i="4" s="1"/>
  <c r="L247" i="4"/>
  <c r="G521" i="6"/>
  <c r="G81" i="6"/>
  <c r="C82" i="6" s="1"/>
  <c r="E82" i="6" s="1"/>
  <c r="DJ402" i="1"/>
  <c r="I424" i="6"/>
  <c r="C425" i="6" s="1"/>
  <c r="DH404" i="1"/>
  <c r="DK402" i="1"/>
  <c r="DM402" i="1" s="1"/>
  <c r="DW400" i="1"/>
  <c r="DY400" i="1" s="1"/>
  <c r="DZ400" i="1" s="1"/>
  <c r="DR399" i="1"/>
  <c r="DV398" i="1"/>
  <c r="DV396" i="1"/>
  <c r="DR397" i="1"/>
  <c r="DW401" i="1"/>
  <c r="DY401" i="1" s="1"/>
  <c r="DN395" i="1"/>
  <c r="DO395" i="1"/>
  <c r="DQ395" i="1" s="1"/>
  <c r="AX241" i="1"/>
  <c r="AY241" i="1" s="1"/>
  <c r="AZ237" i="1"/>
  <c r="BA237" i="1" s="1"/>
  <c r="AZ246" i="1"/>
  <c r="BA246" i="1" s="1"/>
  <c r="AZ238" i="1"/>
  <c r="BA238" i="1" s="1"/>
  <c r="AZ243" i="1"/>
  <c r="BA243" i="1" s="1"/>
  <c r="AZ244" i="1"/>
  <c r="BA244" i="1" s="1"/>
  <c r="AV240" i="1"/>
  <c r="AW240" i="1" s="1"/>
  <c r="AV235" i="1"/>
  <c r="AW235" i="1" s="1"/>
  <c r="AX242" i="1"/>
  <c r="AY242" i="1" s="1"/>
  <c r="AZ236" i="1"/>
  <c r="BA236" i="1" s="1"/>
  <c r="BB236" i="1" s="1"/>
  <c r="AZ247" i="1"/>
  <c r="BA247" i="1" s="1"/>
  <c r="AZ245" i="1"/>
  <c r="BA245" i="1" s="1"/>
  <c r="AX239" i="1"/>
  <c r="AY239" i="1" s="1"/>
  <c r="AX248" i="1"/>
  <c r="AY248" i="1" s="1"/>
  <c r="M534" i="6"/>
  <c r="K535" i="6" s="1"/>
  <c r="E534" i="6"/>
  <c r="L197" i="4"/>
  <c r="AT249" i="1"/>
  <c r="DJ403" i="1"/>
  <c r="AV249" i="1"/>
  <c r="DM403" i="1"/>
  <c r="M326" i="4" l="1"/>
  <c r="K248" i="4"/>
  <c r="L248" i="4" s="1"/>
  <c r="L249" i="4" s="1"/>
  <c r="L256" i="4" s="1"/>
  <c r="H521" i="6"/>
  <c r="F521" i="6"/>
  <c r="D373" i="4"/>
  <c r="F82" i="6"/>
  <c r="DN402" i="1"/>
  <c r="DL404" i="1"/>
  <c r="DO402" i="1"/>
  <c r="DQ402" i="1" s="1"/>
  <c r="EA400" i="1"/>
  <c r="DZ401" i="1"/>
  <c r="DS399" i="1"/>
  <c r="DU399" i="1" s="1"/>
  <c r="DR395" i="1"/>
  <c r="DW398" i="1"/>
  <c r="DY398" i="1" s="1"/>
  <c r="DS397" i="1"/>
  <c r="DU397" i="1" s="1"/>
  <c r="AZ239" i="1"/>
  <c r="BA239" i="1" s="1"/>
  <c r="BB238" i="1"/>
  <c r="BC238" i="1" s="1"/>
  <c r="AX235" i="1"/>
  <c r="BB245" i="1"/>
  <c r="BC245" i="1" s="1"/>
  <c r="BB244" i="1"/>
  <c r="BC244" i="1" s="1"/>
  <c r="BB247" i="1"/>
  <c r="BC247" i="1" s="1"/>
  <c r="AX240" i="1"/>
  <c r="AY240" i="1" s="1"/>
  <c r="AZ248" i="1"/>
  <c r="BA248" i="1" s="1"/>
  <c r="AZ242" i="1"/>
  <c r="BA242" i="1" s="1"/>
  <c r="BB243" i="1"/>
  <c r="BC243" i="1" s="1"/>
  <c r="AZ241" i="1"/>
  <c r="BA241" i="1" s="1"/>
  <c r="BB246" i="1"/>
  <c r="BC246" i="1" s="1"/>
  <c r="BB237" i="1"/>
  <c r="E535" i="6"/>
  <c r="M535" i="6"/>
  <c r="K536" i="6" s="1"/>
  <c r="H197" i="4"/>
  <c r="DQ403" i="1"/>
  <c r="AX249" i="1"/>
  <c r="DN403" i="1"/>
  <c r="C374" i="4" l="1"/>
  <c r="D374" i="4" s="1"/>
  <c r="I521" i="6"/>
  <c r="C522" i="6" s="1"/>
  <c r="G82" i="6"/>
  <c r="C83" i="6" s="1"/>
  <c r="E83" i="6" s="1"/>
  <c r="DR402" i="1"/>
  <c r="BC237" i="1"/>
  <c r="BD237" i="1" s="1"/>
  <c r="I425" i="6"/>
  <c r="C426" i="6" s="1"/>
  <c r="DP404" i="1"/>
  <c r="DS402" i="1"/>
  <c r="DU402" i="1" s="1"/>
  <c r="EC400" i="1"/>
  <c r="ED400" i="1" s="1"/>
  <c r="DV399" i="1"/>
  <c r="EA401" i="1"/>
  <c r="EC401" i="1" s="1"/>
  <c r="DZ398" i="1"/>
  <c r="BD247" i="1"/>
  <c r="BE247" i="1" s="1"/>
  <c r="BD243" i="1"/>
  <c r="BE243" i="1" s="1"/>
  <c r="BD245" i="1"/>
  <c r="BE245" i="1" s="1"/>
  <c r="BB248" i="1"/>
  <c r="BC248" i="1" s="1"/>
  <c r="BD238" i="1"/>
  <c r="BE238" i="1" s="1"/>
  <c r="BF238" i="1" s="1"/>
  <c r="BD246" i="1"/>
  <c r="BE246" i="1" s="1"/>
  <c r="AY235" i="1"/>
  <c r="BB241" i="1"/>
  <c r="BC241" i="1" s="1"/>
  <c r="BD244" i="1"/>
  <c r="BE244" i="1" s="1"/>
  <c r="BB239" i="1"/>
  <c r="AZ240" i="1"/>
  <c r="BA240" i="1" s="1"/>
  <c r="BB242" i="1"/>
  <c r="BC242" i="1" s="1"/>
  <c r="E536" i="6"/>
  <c r="M536" i="6"/>
  <c r="K537" i="6" s="1"/>
  <c r="DR403" i="1"/>
  <c r="DU403" i="1"/>
  <c r="AZ235" i="1" l="1"/>
  <c r="C375" i="4"/>
  <c r="D375" i="4" s="1"/>
  <c r="G522" i="6"/>
  <c r="F83" i="6"/>
  <c r="DV402" i="1"/>
  <c r="BC239" i="1"/>
  <c r="BD239" i="1" s="1"/>
  <c r="DW402" i="1"/>
  <c r="DY402" i="1" s="1"/>
  <c r="DZ402" i="1" s="1"/>
  <c r="EE400" i="1"/>
  <c r="ED401" i="1"/>
  <c r="DW399" i="1"/>
  <c r="DY399" i="1" s="1"/>
  <c r="DV397" i="1"/>
  <c r="DT404" i="1"/>
  <c r="DW397" i="1"/>
  <c r="DY397" i="1" s="1"/>
  <c r="EA398" i="1"/>
  <c r="EC398" i="1" s="1"/>
  <c r="BD248" i="1"/>
  <c r="BE248" i="1" s="1"/>
  <c r="BD242" i="1"/>
  <c r="BE242" i="1" s="1"/>
  <c r="BF246" i="1"/>
  <c r="BG246" i="1" s="1"/>
  <c r="BD241" i="1"/>
  <c r="BE241" i="1" s="1"/>
  <c r="BF245" i="1"/>
  <c r="BG245" i="1" s="1"/>
  <c r="BF247" i="1"/>
  <c r="BG247" i="1" s="1"/>
  <c r="BB240" i="1"/>
  <c r="BF243" i="1"/>
  <c r="BG243" i="1" s="1"/>
  <c r="BF244" i="1"/>
  <c r="BG244" i="1" s="1"/>
  <c r="M537" i="6"/>
  <c r="K538" i="6" s="1"/>
  <c r="E537" i="6"/>
  <c r="AZ249" i="1"/>
  <c r="BB249" i="1"/>
  <c r="DY403" i="1"/>
  <c r="DV403" i="1"/>
  <c r="C376" i="4" l="1"/>
  <c r="F522" i="6"/>
  <c r="H522" i="6"/>
  <c r="G83" i="6"/>
  <c r="C84" i="6" s="1"/>
  <c r="E84" i="6" s="1"/>
  <c r="BE239" i="1"/>
  <c r="EA402" i="1"/>
  <c r="EC402" i="1" s="1"/>
  <c r="ED402" i="1" s="1"/>
  <c r="I426" i="6"/>
  <c r="C427" i="6" s="1"/>
  <c r="EG400" i="1"/>
  <c r="EH400" i="1" s="1"/>
  <c r="ED398" i="1"/>
  <c r="EE401" i="1"/>
  <c r="EG401" i="1" s="1"/>
  <c r="DZ397" i="1"/>
  <c r="DZ399" i="1"/>
  <c r="BC240" i="1"/>
  <c r="BD240" i="1" s="1"/>
  <c r="BH246" i="1"/>
  <c r="BI246" i="1" s="1"/>
  <c r="BH245" i="1"/>
  <c r="BI245" i="1" s="1"/>
  <c r="BH247" i="1"/>
  <c r="BI247" i="1" s="1"/>
  <c r="BH244" i="1"/>
  <c r="BI244" i="1" s="1"/>
  <c r="BF242" i="1"/>
  <c r="BG242" i="1" s="1"/>
  <c r="BH243" i="1"/>
  <c r="BI243" i="1" s="1"/>
  <c r="BF248" i="1"/>
  <c r="BG248" i="1" s="1"/>
  <c r="BF241" i="1"/>
  <c r="BG241" i="1" s="1"/>
  <c r="E538" i="6"/>
  <c r="M538" i="6"/>
  <c r="K539" i="6" s="1"/>
  <c r="C438" i="7"/>
  <c r="DZ403" i="1"/>
  <c r="BD249" i="1"/>
  <c r="C607" i="6"/>
  <c r="BF239" i="1" l="1"/>
  <c r="BG239" i="1" s="1"/>
  <c r="BH239" i="1" s="1"/>
  <c r="D376" i="4"/>
  <c r="C377" i="4" s="1"/>
  <c r="D377" i="4" s="1"/>
  <c r="C378" i="4" s="1"/>
  <c r="D378" i="4" s="1"/>
  <c r="C379" i="4" s="1"/>
  <c r="D379" i="4" s="1"/>
  <c r="C380" i="4" s="1"/>
  <c r="D380" i="4" s="1"/>
  <c r="C381" i="4" s="1"/>
  <c r="D381" i="4" s="1"/>
  <c r="C382" i="4" s="1"/>
  <c r="D382" i="4" s="1"/>
  <c r="C383" i="4" s="1"/>
  <c r="I522" i="6"/>
  <c r="C523" i="6" s="1"/>
  <c r="F84" i="6"/>
  <c r="EE402" i="1"/>
  <c r="EG402" i="1" s="1"/>
  <c r="EH402" i="1" s="1"/>
  <c r="EI400" i="1"/>
  <c r="EK400" i="1" s="1"/>
  <c r="EH401" i="1"/>
  <c r="DX404" i="1"/>
  <c r="EA399" i="1"/>
  <c r="EC399" i="1" s="1"/>
  <c r="BE240" i="1"/>
  <c r="BF240" i="1" s="1"/>
  <c r="BH248" i="1"/>
  <c r="BI248" i="1" s="1"/>
  <c r="BJ247" i="1"/>
  <c r="BK247" i="1" s="1"/>
  <c r="BH241" i="1"/>
  <c r="BI241" i="1" s="1"/>
  <c r="BH242" i="1"/>
  <c r="BI242" i="1" s="1"/>
  <c r="BJ246" i="1"/>
  <c r="BK246" i="1" s="1"/>
  <c r="BJ244" i="1"/>
  <c r="BK244" i="1" s="1"/>
  <c r="BJ243" i="1"/>
  <c r="BK243" i="1" s="1"/>
  <c r="BJ245" i="1"/>
  <c r="BK245" i="1" s="1"/>
  <c r="E539" i="6"/>
  <c r="M539" i="6"/>
  <c r="K540" i="6" s="1"/>
  <c r="EC403" i="1"/>
  <c r="BF249" i="1"/>
  <c r="D383" i="4" l="1"/>
  <c r="C384" i="4" s="1"/>
  <c r="D384" i="4" s="1"/>
  <c r="C385" i="4" s="1"/>
  <c r="D385" i="4" s="1"/>
  <c r="C386" i="4" s="1"/>
  <c r="D386" i="4" s="1"/>
  <c r="C387" i="4" s="1"/>
  <c r="D387" i="4" s="1"/>
  <c r="C388" i="4" s="1"/>
  <c r="G523" i="6"/>
  <c r="G84" i="6"/>
  <c r="C85" i="6" s="1"/>
  <c r="E85" i="6" s="1"/>
  <c r="EL400" i="1"/>
  <c r="EI402" i="1"/>
  <c r="EK402" i="1" s="1"/>
  <c r="EL402" i="1" s="1"/>
  <c r="EI401" i="1"/>
  <c r="EK401" i="1" s="1"/>
  <c r="BG240" i="1"/>
  <c r="BJ242" i="1"/>
  <c r="BK242" i="1" s="1"/>
  <c r="BL243" i="1"/>
  <c r="BM243" i="1" s="1"/>
  <c r="BL244" i="1"/>
  <c r="BM244" i="1" s="1"/>
  <c r="BL247" i="1"/>
  <c r="BM247" i="1" s="1"/>
  <c r="BL245" i="1"/>
  <c r="BM245" i="1" s="1"/>
  <c r="BL246" i="1"/>
  <c r="BM246" i="1" s="1"/>
  <c r="BJ248" i="1"/>
  <c r="BK248" i="1" s="1"/>
  <c r="BJ241" i="1"/>
  <c r="BK241" i="1" s="1"/>
  <c r="BL241" i="1" s="1"/>
  <c r="E540" i="6"/>
  <c r="M540" i="6"/>
  <c r="K541" i="6" s="1"/>
  <c r="EK403" i="1"/>
  <c r="BH240" i="1" l="1"/>
  <c r="BI240" i="1" s="1"/>
  <c r="BJ240" i="1" s="1"/>
  <c r="D388" i="4"/>
  <c r="C389" i="4" s="1"/>
  <c r="D389" i="4" s="1"/>
  <c r="C390" i="4" s="1"/>
  <c r="D390" i="4" s="1"/>
  <c r="C391" i="4" s="1"/>
  <c r="F523" i="6"/>
  <c r="H523" i="6"/>
  <c r="F85" i="6"/>
  <c r="EM402" i="1"/>
  <c r="EO402" i="1" s="1"/>
  <c r="EP402" i="1" s="1"/>
  <c r="G433" i="6"/>
  <c r="F433" i="6"/>
  <c r="I427" i="6"/>
  <c r="ED399" i="1"/>
  <c r="EB404" i="1"/>
  <c r="EE399" i="1"/>
  <c r="EG399" i="1" s="1"/>
  <c r="BL248" i="1"/>
  <c r="BM248" i="1" s="1"/>
  <c r="BN246" i="1"/>
  <c r="BO246" i="1" s="1"/>
  <c r="BN245" i="1"/>
  <c r="BO245" i="1" s="1"/>
  <c r="BN243" i="1"/>
  <c r="BO243" i="1" s="1"/>
  <c r="BP243" i="1" s="1"/>
  <c r="BN247" i="1"/>
  <c r="BO247" i="1" s="1"/>
  <c r="BN244" i="1"/>
  <c r="BO244" i="1" s="1"/>
  <c r="BL242" i="1"/>
  <c r="M541" i="6"/>
  <c r="K542" i="6" s="1"/>
  <c r="E541" i="6"/>
  <c r="I438" i="7"/>
  <c r="BL249" i="1"/>
  <c r="BJ249" i="1"/>
  <c r="EG403" i="1"/>
  <c r="BH249" i="1"/>
  <c r="ED403" i="1"/>
  <c r="I607" i="6"/>
  <c r="D391" i="4" l="1"/>
  <c r="C392" i="4" s="1"/>
  <c r="D392" i="4" s="1"/>
  <c r="C393" i="4" s="1"/>
  <c r="D393" i="4" s="1"/>
  <c r="C394" i="4" s="1"/>
  <c r="I523" i="6"/>
  <c r="C524" i="6" s="1"/>
  <c r="G85" i="6"/>
  <c r="C86" i="6" s="1"/>
  <c r="E86" i="6" s="1"/>
  <c r="H433" i="6"/>
  <c r="EF404" i="1"/>
  <c r="EH399" i="1"/>
  <c r="EL401" i="1"/>
  <c r="EJ404" i="1"/>
  <c r="EQ402" i="1"/>
  <c r="ES402" i="1" s="1"/>
  <c r="EM401" i="1"/>
  <c r="EO401" i="1" s="1"/>
  <c r="BM242" i="1"/>
  <c r="BP245" i="1"/>
  <c r="BQ245" i="1" s="1"/>
  <c r="BP244" i="1"/>
  <c r="BP246" i="1"/>
  <c r="BQ246" i="1" s="1"/>
  <c r="BN248" i="1"/>
  <c r="BP247" i="1"/>
  <c r="BQ247" i="1" s="1"/>
  <c r="M542" i="6"/>
  <c r="K543" i="6" s="1"/>
  <c r="E542" i="6"/>
  <c r="L198" i="4"/>
  <c r="L205" i="4" s="1"/>
  <c r="H198" i="4"/>
  <c r="EL403" i="1"/>
  <c r="ES403" i="1"/>
  <c r="EO403" i="1"/>
  <c r="EH403" i="1"/>
  <c r="BN242" i="1" l="1"/>
  <c r="D394" i="4"/>
  <c r="C395" i="4" s="1"/>
  <c r="D395" i="4" s="1"/>
  <c r="C396" i="4" s="1"/>
  <c r="D396" i="4" s="1"/>
  <c r="C397" i="4" s="1"/>
  <c r="D397" i="4" s="1"/>
  <c r="G524" i="6"/>
  <c r="H205" i="4"/>
  <c r="I256" i="4"/>
  <c r="M256" i="4"/>
  <c r="F86" i="6"/>
  <c r="BQ244" i="1"/>
  <c r="BR244" i="1" s="1"/>
  <c r="EN404" i="1"/>
  <c r="EP401" i="1"/>
  <c r="ER404" i="1"/>
  <c r="ET402" i="1"/>
  <c r="BR246" i="1"/>
  <c r="BS246" i="1" s="1"/>
  <c r="BR247" i="1"/>
  <c r="BS247" i="1" s="1"/>
  <c r="BR245" i="1"/>
  <c r="BS245" i="1" s="1"/>
  <c r="BT245" i="1" s="1"/>
  <c r="BO248" i="1"/>
  <c r="M543" i="6"/>
  <c r="K544" i="6" s="1"/>
  <c r="E543" i="6"/>
  <c r="BN249" i="1"/>
  <c r="ET403" i="1"/>
  <c r="EP403" i="1"/>
  <c r="F524" i="6" l="1"/>
  <c r="H524" i="6"/>
  <c r="G86" i="6"/>
  <c r="C87" i="6" s="1"/>
  <c r="E87" i="6" s="1"/>
  <c r="BT246" i="1"/>
  <c r="BT247" i="1"/>
  <c r="BU247" i="1" s="1"/>
  <c r="BP248" i="1"/>
  <c r="M544" i="6"/>
  <c r="K545" i="6" s="1"/>
  <c r="E544" i="6"/>
  <c r="BP249" i="1"/>
  <c r="I524" i="6" l="1"/>
  <c r="C525" i="6" s="1"/>
  <c r="F87" i="6"/>
  <c r="BU246" i="1"/>
  <c r="BQ248" i="1"/>
  <c r="BR248" i="1" s="1"/>
  <c r="BV247" i="1"/>
  <c r="M545" i="6"/>
  <c r="K546" i="6" s="1"/>
  <c r="E545" i="6"/>
  <c r="BR249" i="1"/>
  <c r="BV246" i="1" l="1"/>
  <c r="G525" i="6"/>
  <c r="G87" i="6"/>
  <c r="C88" i="6" s="1"/>
  <c r="E88" i="6" s="1"/>
  <c r="BS248" i="1"/>
  <c r="BT248" i="1" s="1"/>
  <c r="BW247" i="1"/>
  <c r="BX247" i="1" s="1"/>
  <c r="M546" i="6"/>
  <c r="K547" i="6" s="1"/>
  <c r="E546" i="6"/>
  <c r="BT249" i="1"/>
  <c r="H525" i="6" l="1"/>
  <c r="F525" i="6"/>
  <c r="F88" i="6"/>
  <c r="BU248" i="1"/>
  <c r="M547" i="6"/>
  <c r="E547" i="6"/>
  <c r="E631" i="6"/>
  <c r="E452" i="7"/>
  <c r="E548" i="6"/>
  <c r="E632" i="6" l="1"/>
  <c r="E453" i="7"/>
  <c r="BV248" i="1"/>
  <c r="BW248" i="1" s="1"/>
  <c r="I525" i="6"/>
  <c r="C526" i="6" s="1"/>
  <c r="G88" i="6"/>
  <c r="C89" i="6" s="1"/>
  <c r="E89" i="6" s="1"/>
  <c r="BV249" i="1"/>
  <c r="G526" i="6" l="1"/>
  <c r="F89" i="6"/>
  <c r="BX248" i="1"/>
  <c r="BX249" i="1"/>
  <c r="H526" i="6" l="1"/>
  <c r="F526" i="6"/>
  <c r="G89" i="6"/>
  <c r="C90" i="6" s="1"/>
  <c r="E90" i="6" s="1"/>
  <c r="BY248" i="1"/>
  <c r="BZ248" i="1" l="1"/>
  <c r="I526" i="6"/>
  <c r="C527" i="6" s="1"/>
  <c r="F90" i="6"/>
  <c r="N101" i="7"/>
  <c r="BZ249" i="1"/>
  <c r="C250" i="1" l="1"/>
  <c r="K76" i="1" s="1"/>
  <c r="N102" i="7"/>
  <c r="G527" i="6"/>
  <c r="G90" i="6"/>
  <c r="C91" i="6" s="1"/>
  <c r="E91" i="6" s="1"/>
  <c r="H76" i="1" l="1"/>
  <c r="H527" i="6"/>
  <c r="F527" i="6"/>
  <c r="F91" i="6"/>
  <c r="I527" i="6" l="1"/>
  <c r="C528" i="6" s="1"/>
  <c r="G91" i="6"/>
  <c r="C92" i="6" s="1"/>
  <c r="E92" i="6" s="1"/>
  <c r="G422" i="4" l="1"/>
  <c r="C422" i="4"/>
  <c r="G528" i="6"/>
  <c r="F92" i="6"/>
  <c r="K441" i="4" l="1"/>
  <c r="G423" i="4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41" i="4"/>
  <c r="H422" i="4"/>
  <c r="F528" i="6"/>
  <c r="H528" i="6"/>
  <c r="C441" i="4"/>
  <c r="D422" i="4"/>
  <c r="C423" i="4" s="1"/>
  <c r="L422" i="4"/>
  <c r="G92" i="6"/>
  <c r="C93" i="6" s="1"/>
  <c r="E93" i="6" s="1"/>
  <c r="K423" i="4" l="1"/>
  <c r="L423" i="4" s="1"/>
  <c r="H443" i="4"/>
  <c r="H444" i="4" s="1"/>
  <c r="I528" i="6"/>
  <c r="C529" i="6" s="1"/>
  <c r="H208" i="4"/>
  <c r="H209" i="4" s="1"/>
  <c r="D443" i="4"/>
  <c r="D444" i="4" s="1"/>
  <c r="H423" i="4"/>
  <c r="D423" i="4"/>
  <c r="C424" i="4" s="1"/>
  <c r="F93" i="6"/>
  <c r="K424" i="4" l="1"/>
  <c r="L424" i="4" s="1"/>
  <c r="G529" i="6"/>
  <c r="D424" i="4"/>
  <c r="C425" i="4" s="1"/>
  <c r="H424" i="4"/>
  <c r="G93" i="6"/>
  <c r="C94" i="6" s="1"/>
  <c r="E94" i="6" s="1"/>
  <c r="K425" i="4" l="1"/>
  <c r="L425" i="4" s="1"/>
  <c r="F529" i="6"/>
  <c r="H529" i="6"/>
  <c r="H425" i="4"/>
  <c r="D425" i="4"/>
  <c r="C426" i="4" s="1"/>
  <c r="F94" i="6"/>
  <c r="K426" i="4" l="1"/>
  <c r="L426" i="4" s="1"/>
  <c r="H426" i="4"/>
  <c r="I529" i="6"/>
  <c r="C530" i="6" s="1"/>
  <c r="D426" i="4"/>
  <c r="H427" i="4" s="1"/>
  <c r="G94" i="6"/>
  <c r="C95" i="6" s="1"/>
  <c r="E95" i="6" s="1"/>
  <c r="K427" i="4" l="1"/>
  <c r="C427" i="4"/>
  <c r="D427" i="4" s="1"/>
  <c r="H428" i="4" s="1"/>
  <c r="G530" i="6"/>
  <c r="F95" i="6"/>
  <c r="L427" i="4" l="1"/>
  <c r="C428" i="4"/>
  <c r="D428" i="4" s="1"/>
  <c r="H429" i="4" s="1"/>
  <c r="H530" i="6"/>
  <c r="F530" i="6"/>
  <c r="G95" i="6"/>
  <c r="C96" i="6" s="1"/>
  <c r="E96" i="6" s="1"/>
  <c r="K428" i="4" l="1"/>
  <c r="C429" i="4"/>
  <c r="D429" i="4" s="1"/>
  <c r="H430" i="4" s="1"/>
  <c r="I530" i="6"/>
  <c r="C531" i="6" s="1"/>
  <c r="F96" i="6"/>
  <c r="L428" i="4" l="1"/>
  <c r="C430" i="4"/>
  <c r="D430" i="4" s="1"/>
  <c r="H431" i="4" s="1"/>
  <c r="G531" i="6"/>
  <c r="G96" i="6"/>
  <c r="C97" i="6" s="1"/>
  <c r="E97" i="6" s="1"/>
  <c r="K429" i="4" l="1"/>
  <c r="C431" i="4"/>
  <c r="D431" i="4" s="1"/>
  <c r="H432" i="4" s="1"/>
  <c r="F531" i="6"/>
  <c r="H531" i="6"/>
  <c r="F97" i="6"/>
  <c r="L429" i="4" l="1"/>
  <c r="C432" i="4"/>
  <c r="D432" i="4" s="1"/>
  <c r="H433" i="4" s="1"/>
  <c r="H434" i="4" s="1"/>
  <c r="H441" i="4" s="1"/>
  <c r="H445" i="4" s="1"/>
  <c r="I531" i="6"/>
  <c r="C532" i="6" s="1"/>
  <c r="G97" i="6"/>
  <c r="C98" i="6" s="1"/>
  <c r="E98" i="6" s="1"/>
  <c r="K430" i="4" l="1"/>
  <c r="C433" i="4"/>
  <c r="D433" i="4" s="1"/>
  <c r="D434" i="4" s="1"/>
  <c r="G532" i="6"/>
  <c r="I205" i="4"/>
  <c r="I441" i="4"/>
  <c r="F98" i="6"/>
  <c r="L430" i="4" l="1"/>
  <c r="F532" i="6"/>
  <c r="H532" i="6"/>
  <c r="E205" i="4"/>
  <c r="D441" i="4"/>
  <c r="G98" i="6"/>
  <c r="C99" i="6" s="1"/>
  <c r="E99" i="6" s="1"/>
  <c r="K431" i="4" l="1"/>
  <c r="I532" i="6"/>
  <c r="C533" i="6" s="1"/>
  <c r="D445" i="4"/>
  <c r="E441" i="4"/>
  <c r="F99" i="6"/>
  <c r="L431" i="4" l="1"/>
  <c r="G533" i="6"/>
  <c r="G99" i="6"/>
  <c r="C100" i="6" s="1"/>
  <c r="E100" i="6" s="1"/>
  <c r="K432" i="4" l="1"/>
  <c r="F533" i="6"/>
  <c r="H533" i="6"/>
  <c r="F100" i="6"/>
  <c r="L432" i="4" l="1"/>
  <c r="I533" i="6"/>
  <c r="C534" i="6" s="1"/>
  <c r="G100" i="6"/>
  <c r="C101" i="6" s="1"/>
  <c r="E101" i="6" s="1"/>
  <c r="K433" i="4" l="1"/>
  <c r="L433" i="4" s="1"/>
  <c r="L434" i="4" s="1"/>
  <c r="G534" i="6"/>
  <c r="F101" i="6"/>
  <c r="M205" i="4" l="1"/>
  <c r="L441" i="4"/>
  <c r="F534" i="6"/>
  <c r="H534" i="6"/>
  <c r="G101" i="6"/>
  <c r="C102" i="6" s="1"/>
  <c r="E102" i="6" s="1"/>
  <c r="M441" i="4" l="1"/>
  <c r="I534" i="6"/>
  <c r="C535" i="6" s="1"/>
  <c r="F102" i="6"/>
  <c r="D398" i="4"/>
  <c r="G535" i="6" l="1"/>
  <c r="G102" i="6"/>
  <c r="C103" i="6" s="1"/>
  <c r="E103" i="6" s="1"/>
  <c r="H535" i="6" l="1"/>
  <c r="F535" i="6"/>
  <c r="B399" i="4"/>
  <c r="F103" i="6"/>
  <c r="I535" i="6" l="1"/>
  <c r="C536" i="6" s="1"/>
  <c r="G103" i="6"/>
  <c r="C104" i="6" s="1"/>
  <c r="E104" i="6" s="1"/>
  <c r="G536" i="6" l="1"/>
  <c r="F104" i="6"/>
  <c r="H536" i="6" l="1"/>
  <c r="F536" i="6"/>
  <c r="G104" i="6"/>
  <c r="C105" i="6" s="1"/>
  <c r="E105" i="6" s="1"/>
  <c r="I536" i="6" l="1"/>
  <c r="C537" i="6" s="1"/>
  <c r="F105" i="6"/>
  <c r="G537" i="6" l="1"/>
  <c r="G105" i="6"/>
  <c r="C106" i="6" s="1"/>
  <c r="E106" i="6" s="1"/>
  <c r="H537" i="6" l="1"/>
  <c r="F537" i="6"/>
  <c r="F106" i="6"/>
  <c r="I537" i="6" l="1"/>
  <c r="C538" i="6" s="1"/>
  <c r="G106" i="6"/>
  <c r="C107" i="6" s="1"/>
  <c r="E107" i="6" s="1"/>
  <c r="G538" i="6" l="1"/>
  <c r="F107" i="6"/>
  <c r="F538" i="6" l="1"/>
  <c r="H538" i="6"/>
  <c r="G107" i="6"/>
  <c r="C108" i="6" s="1"/>
  <c r="C320" i="7"/>
  <c r="I538" i="6" l="1"/>
  <c r="C539" i="6" s="1"/>
  <c r="E108" i="6"/>
  <c r="E109" i="6"/>
  <c r="E320" i="7"/>
  <c r="G539" i="6" l="1"/>
  <c r="E113" i="6"/>
  <c r="C263" i="6"/>
  <c r="E321" i="7"/>
  <c r="F285" i="6"/>
  <c r="C369" i="7"/>
  <c r="F392" i="7"/>
  <c r="F108" i="6"/>
  <c r="F320" i="7"/>
  <c r="F109" i="6"/>
  <c r="E325" i="7" l="1"/>
  <c r="D110" i="6"/>
  <c r="H539" i="6"/>
  <c r="F539" i="6"/>
  <c r="F321" i="7"/>
  <c r="F113" i="6"/>
  <c r="G108" i="6"/>
  <c r="E553" i="6"/>
  <c r="G320" i="7"/>
  <c r="K70" i="1" l="1"/>
  <c r="H70" i="1"/>
  <c r="F325" i="7"/>
  <c r="I539" i="6"/>
  <c r="C540" i="6" s="1"/>
  <c r="G540" i="6" l="1"/>
  <c r="H540" i="6" l="1"/>
  <c r="F540" i="6"/>
  <c r="I540" i="6" l="1"/>
  <c r="C541" i="6" s="1"/>
  <c r="G541" i="6" l="1"/>
  <c r="H541" i="6" l="1"/>
  <c r="F541" i="6"/>
  <c r="I541" i="6" l="1"/>
  <c r="C542" i="6" s="1"/>
  <c r="G542" i="6" l="1"/>
  <c r="F542" i="6" l="1"/>
  <c r="H542" i="6"/>
  <c r="I542" i="6" l="1"/>
  <c r="C543" i="6" s="1"/>
  <c r="G543" i="6" l="1"/>
  <c r="F543" i="6" l="1"/>
  <c r="H543" i="6"/>
  <c r="I543" i="6" l="1"/>
  <c r="C544" i="6" s="1"/>
  <c r="G544" i="6" l="1"/>
  <c r="F544" i="6" l="1"/>
  <c r="H544" i="6"/>
  <c r="I544" i="6" l="1"/>
  <c r="C545" i="6" s="1"/>
  <c r="G545" i="6" l="1"/>
  <c r="F545" i="6" l="1"/>
  <c r="H545" i="6"/>
  <c r="I545" i="6" l="1"/>
  <c r="C546" i="6" s="1"/>
  <c r="G546" i="6" l="1"/>
  <c r="F546" i="6" l="1"/>
  <c r="H546" i="6"/>
  <c r="I546" i="6" l="1"/>
  <c r="C547" i="6" s="1"/>
  <c r="C631" i="6"/>
  <c r="C452" i="7"/>
  <c r="G547" i="6" l="1"/>
  <c r="G452" i="7"/>
  <c r="G548" i="6"/>
  <c r="G631" i="6"/>
  <c r="G632" i="6" l="1"/>
  <c r="G453" i="7"/>
  <c r="G553" i="6"/>
  <c r="F547" i="6"/>
  <c r="H547" i="6"/>
  <c r="F631" i="6"/>
  <c r="F548" i="6"/>
  <c r="H452" i="7"/>
  <c r="H548" i="6"/>
  <c r="F452" i="7"/>
  <c r="H631" i="6"/>
  <c r="H632" i="6" l="1"/>
  <c r="F632" i="6"/>
  <c r="H453" i="7"/>
  <c r="F453" i="7"/>
  <c r="D549" i="6"/>
  <c r="K73" i="1" s="1"/>
  <c r="H553" i="6"/>
  <c r="F553" i="6"/>
  <c r="I547" i="6"/>
  <c r="I452" i="7"/>
  <c r="I631" i="6"/>
  <c r="H73" i="1" l="1"/>
</calcChain>
</file>

<file path=xl/sharedStrings.xml><?xml version="1.0" encoding="utf-8"?>
<sst xmlns="http://schemas.openxmlformats.org/spreadsheetml/2006/main" count="2320" uniqueCount="961">
  <si>
    <t>Valor do financiamento (Principal)</t>
  </si>
  <si>
    <t>P</t>
  </si>
  <si>
    <t>Taxa mensal de juros</t>
  </si>
  <si>
    <t>i</t>
  </si>
  <si>
    <t>Prazo de amortização (meses)</t>
  </si>
  <si>
    <t>n</t>
  </si>
  <si>
    <t>R</t>
  </si>
  <si>
    <t>Taxa anual de juros - nominal</t>
  </si>
  <si>
    <t>iAN</t>
  </si>
  <si>
    <t>Taxa anual de juros - efetiva</t>
  </si>
  <si>
    <t>iAE</t>
  </si>
  <si>
    <t>Sistema de amortização</t>
  </si>
  <si>
    <t>TP</t>
  </si>
  <si>
    <t>Fórmulas</t>
  </si>
  <si>
    <t>Calculado (pela Fórmula Price)</t>
  </si>
  <si>
    <t>i = iAN / 12</t>
  </si>
  <si>
    <t>(Raíz 12 de (1 + iAE)) - 1</t>
  </si>
  <si>
    <t>Prestação</t>
  </si>
  <si>
    <t>Montante</t>
  </si>
  <si>
    <t>Parcela</t>
  </si>
  <si>
    <t>Valor Presente</t>
  </si>
  <si>
    <t>Juros</t>
  </si>
  <si>
    <t>% Juros</t>
  </si>
  <si>
    <t>Total</t>
  </si>
  <si>
    <t>Principal</t>
  </si>
  <si>
    <t>Juros lineares</t>
  </si>
  <si>
    <t>Juros sobre juros</t>
  </si>
  <si>
    <t>Tabela 01 - As cláusulas contratuais</t>
  </si>
  <si>
    <t>• Antes de prosseguir, é importante conferir se os dados informados estão consistentes entre si.</t>
  </si>
  <si>
    <t>Taxa anual nominal para mensal</t>
  </si>
  <si>
    <t>Taxa anual efetiva para mensal</t>
  </si>
  <si>
    <t>Valor Futuro, Valor Presente e Juros da Prestação</t>
  </si>
  <si>
    <t>Tabela 02 - Valor da prestação</t>
  </si>
  <si>
    <t>Tabela 03 - Taxas de juros informadas nas cláusulas</t>
  </si>
  <si>
    <t>Tabela 04 - Conversão de juros anuais para mensais</t>
  </si>
  <si>
    <t>Total Juros</t>
  </si>
  <si>
    <t xml:space="preserve">     Montante = Prestação * Prazo</t>
  </si>
  <si>
    <t xml:space="preserve">   - estenda o número de parcelas do exemplo para atingir o número de parcelas de SEU contrato.</t>
  </si>
  <si>
    <t>Valor Total Juros</t>
  </si>
  <si>
    <t>Fórmula para juros simples</t>
  </si>
  <si>
    <t>Fórmula para juros compostos</t>
  </si>
  <si>
    <t xml:space="preserve">    - calcular a taxa mensal a partir da taxa anual nominal informada, utilizando fórmula de juros simples;</t>
  </si>
  <si>
    <t xml:space="preserve">    - calcular a taxa mensal a partir da taxa anual efetiva informada, utilizando fórmula de juros compostos.</t>
  </si>
  <si>
    <t>Juros s/ Juros</t>
  </si>
  <si>
    <t>Taxa mensal contratual</t>
  </si>
  <si>
    <t>Taxa anual nominal contratual</t>
  </si>
  <si>
    <t>Taxa anual efetiva contratual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</si>
  <si>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</si>
  <si>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</si>
  <si>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</si>
  <si>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</si>
  <si>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</si>
  <si>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</si>
  <si>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</si>
  <si>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</si>
  <si>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</si>
  <si>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</si>
  <si>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</si>
  <si>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</si>
  <si>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Mês 13</t>
  </si>
  <si>
    <t>Mês 14</t>
  </si>
  <si>
    <t>Mês 15</t>
  </si>
  <si>
    <t>Total de Juros</t>
  </si>
  <si>
    <t>Valor</t>
  </si>
  <si>
    <t>Mês</t>
  </si>
  <si>
    <t>Juros mês</t>
  </si>
  <si>
    <t>Prestação 15</t>
  </si>
  <si>
    <t xml:space="preserve">   - meses 01 a 12</t>
  </si>
  <si>
    <t xml:space="preserve">   - meses 02 a 13</t>
  </si>
  <si>
    <t xml:space="preserve">   - meses 03 a 14</t>
  </si>
  <si>
    <t>Juros 01 a 12</t>
  </si>
  <si>
    <t>Taxa</t>
  </si>
  <si>
    <t>Juros 02 a 13</t>
  </si>
  <si>
    <t>Juros 03 a 14</t>
  </si>
  <si>
    <t>Juros 04 a 15</t>
  </si>
  <si>
    <t>• Terceiro passo: Confira se a alteração das cláusulas contratuais foi feita corretamente.</t>
  </si>
  <si>
    <t>Detalhamento</t>
  </si>
  <si>
    <t>• Na Prestação 01:</t>
  </si>
  <si>
    <t>• Na Prestação 02:</t>
  </si>
  <si>
    <t>Valor e taxa anuais
juros sobre juros</t>
  </si>
  <si>
    <t>Valor e taxa anuais
efetivos</t>
  </si>
  <si>
    <t>Valor e taxa anuais
nominais</t>
  </si>
  <si>
    <t>• Iniciamos a análise pela prestação 12.</t>
  </si>
  <si>
    <t>Total (JL + JJ</t>
  </si>
  <si>
    <t xml:space="preserve">          o No Mês 01:</t>
  </si>
  <si>
    <t xml:space="preserve">          o Totalizando:</t>
  </si>
  <si>
    <t xml:space="preserve">          o No Mês 02:</t>
  </si>
  <si>
    <t xml:space="preserve">     no período analisado.</t>
  </si>
  <si>
    <t>• Todos os demais cálculos serão feitos automaticamente pelas fórmulas da planilha.</t>
  </si>
  <si>
    <t>• Para conferir se as 3 taxas estão consistentes entre si, uma forma é:</t>
  </si>
  <si>
    <t>Amortização</t>
  </si>
  <si>
    <t>• Valor e taxa anuais nominais</t>
  </si>
  <si>
    <t>• Valor e taxa anuais efetivas</t>
  </si>
  <si>
    <t>• Valor e taxa anuais de juros sobre juros</t>
  </si>
  <si>
    <t>Valor e taxa anuais juros nominais</t>
  </si>
  <si>
    <t>Valor e taxa anuais juros efetivos</t>
  </si>
  <si>
    <t>https://osjurossobrejurosdatp.com.br</t>
  </si>
  <si>
    <t>César Menezes</t>
  </si>
  <si>
    <t>Valor da prestação</t>
  </si>
  <si>
    <t>Total de juros</t>
  </si>
  <si>
    <t>Mês 16</t>
  </si>
  <si>
    <t>Mês 17</t>
  </si>
  <si>
    <t>Mês 18</t>
  </si>
  <si>
    <t>Mês 19</t>
  </si>
  <si>
    <t>Mês 20</t>
  </si>
  <si>
    <t>Mês 21</t>
  </si>
  <si>
    <t>Mês 22</t>
  </si>
  <si>
    <t>Mês 24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</si>
  <si>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</si>
  <si>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</si>
  <si>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</si>
  <si>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</si>
  <si>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</si>
  <si>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</si>
  <si>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</si>
  <si>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</si>
  <si>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</si>
  <si>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</si>
  <si>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35</t>
  </si>
  <si>
    <t>Mês 36</t>
  </si>
  <si>
    <t>Valores a distribuir, ANTES da Tabela</t>
  </si>
  <si>
    <t>Saldo inicial</t>
  </si>
  <si>
    <t>Saldo final</t>
  </si>
  <si>
    <t>Totais</t>
  </si>
  <si>
    <t>Soma dos valores distribuídos, DEPOIS da Tabela</t>
  </si>
  <si>
    <t>Auxiliar</t>
  </si>
  <si>
    <t>Mês 23</t>
  </si>
  <si>
    <t>• Temos já identificados, para cada prestação, os seguintes valores:</t>
  </si>
  <si>
    <t xml:space="preserve">   □ Valor futuro (valor da prestação)</t>
  </si>
  <si>
    <t xml:space="preserve">   □ Prazo (qtde de meses da prestação).</t>
  </si>
  <si>
    <t>Processo de formação dos juros de cada parcela</t>
  </si>
  <si>
    <t>Tabela 06 - Valor futuro, valor presente e valor de juros em cada prestação</t>
  </si>
  <si>
    <t>Tabela 07 - O processo de formação dos juros em cada prestação</t>
  </si>
  <si>
    <t>Tabela 05 - Valores básicos do contrato</t>
  </si>
  <si>
    <t>% sobre Principal</t>
  </si>
  <si>
    <t>Juros mês 01</t>
  </si>
  <si>
    <t>• Primeiro passo: Faça uma cópia de segurança desta planilha.</t>
  </si>
  <si>
    <t>• Os valores básicos que compõem o contrato são:</t>
  </si>
  <si>
    <t>Em SEU contrato:</t>
  </si>
  <si>
    <t xml:space="preserve">           </t>
  </si>
  <si>
    <t>• O valor dos juros em cada prestação é a diferença entre o valor futuro (valor da prestação) e o valor presente (valor de amortização, ou principal).</t>
  </si>
  <si>
    <t>que é o valor presente da prestação 01.</t>
  </si>
  <si>
    <t>que é o valor presente da prestação 02.</t>
  </si>
  <si>
    <t>O principal do mês 01 é:</t>
  </si>
  <si>
    <t>Os juros do mês 01 são:</t>
  </si>
  <si>
    <t>Juros totais da prestação 01:</t>
  </si>
  <si>
    <t>resultado da soma do principal do mês 01</t>
  </si>
  <si>
    <t>O principal do mês 02 é:</t>
  </si>
  <si>
    <t>Os juros do mês 02 são:</t>
  </si>
  <si>
    <t>Juros totais da prestação 02:</t>
  </si>
  <si>
    <t>• E assim sucessivamente até a última prestação.</t>
  </si>
  <si>
    <t>• E assim até o último mês da prestação.</t>
  </si>
  <si>
    <t>Composição dos juros: lineares + juros sobre juros</t>
  </si>
  <si>
    <t>Os juros lineares do mês 01 são:</t>
  </si>
  <si>
    <t>resultado da aplicação das taxa mensal de:</t>
  </si>
  <si>
    <t>Os juros lineares do mês 02 são:</t>
  </si>
  <si>
    <t>que é o valor total de juros do mês 01.</t>
  </si>
  <si>
    <t>Os juros sobre juros do mês 02 são:</t>
  </si>
  <si>
    <t>Totalizando no mês 02 juros de:</t>
  </si>
  <si>
    <t>soma dos juros lineares e juros sobre juros</t>
  </si>
  <si>
    <t>Totalizando no mês 01 juros de:</t>
  </si>
  <si>
    <t>Juros do mês</t>
  </si>
  <si>
    <t>que é o valor presente da prestação 02 (não capitalizado).</t>
  </si>
  <si>
    <t xml:space="preserve">   Totalizando na prestação 01 juros de:</t>
  </si>
  <si>
    <t>formados por juros lineares de:</t>
  </si>
  <si>
    <t>do mês 01.</t>
  </si>
  <si>
    <t xml:space="preserve">   Totalizando na prestação 02 juros de:</t>
  </si>
  <si>
    <t>Total juros da prestação</t>
  </si>
  <si>
    <t>Valor dos juros no primeiro mês do período (no caso é o mês 01 da prestação)</t>
  </si>
  <si>
    <t>valor anual nominal</t>
  </si>
  <si>
    <t>valor anual efetivo</t>
  </si>
  <si>
    <t>diferença a maior</t>
  </si>
  <si>
    <t>• A diferença a maior é decorrente dos juros sobre juros incorridos no período.</t>
  </si>
  <si>
    <t>juros sobre juros incorridos no período.</t>
  </si>
  <si>
    <t xml:space="preserve">   dos juros do primeiro mês do período.</t>
  </si>
  <si>
    <t xml:space="preserve">   - Consequentemente o valor dos juros é igual para todos os meses da prestação.</t>
  </si>
  <si>
    <t xml:space="preserve">   - O valor total de juros efetivos nos 12 meses dividido pelo principal do mês 01 é a taxa anual efetiva no período analisado.</t>
  </si>
  <si>
    <t xml:space="preserve">   - A diferença a maior é decorrente do valor dos juros sobre juros incorridos no período.</t>
  </si>
  <si>
    <t>Principal do mês 01</t>
  </si>
  <si>
    <t>Principal do mês 02</t>
  </si>
  <si>
    <t>Principal do mês 03</t>
  </si>
  <si>
    <t>Principal do mês 04</t>
  </si>
  <si>
    <t xml:space="preserve">   - substitua as cláusulas contratuais do exemplo pelas de SEU contrato;</t>
  </si>
  <si>
    <r>
      <t xml:space="preserve">• No final, o quadro </t>
    </r>
    <r>
      <rPr>
        <b/>
        <sz val="11"/>
        <color theme="1"/>
        <rFont val="Calibri"/>
        <family val="2"/>
        <scheme val="minor"/>
      </rPr>
      <t>Soma dos valores distribuídos, DEPOIS da Tabela</t>
    </r>
    <r>
      <rPr>
        <sz val="11"/>
        <color theme="1"/>
        <rFont val="Calibri"/>
        <family val="2"/>
        <scheme val="minor"/>
      </rPr>
      <t xml:space="preserve"> apresenta os mesmos valores disponíveis </t>
    </r>
    <r>
      <rPr>
        <b/>
        <sz val="11"/>
        <color theme="1"/>
        <rFont val="Calibri"/>
        <family val="2"/>
        <scheme val="minor"/>
      </rPr>
      <t>ANTES</t>
    </r>
    <r>
      <rPr>
        <sz val="11"/>
        <color theme="1"/>
        <rFont val="Calibri"/>
        <family val="2"/>
        <scheme val="minor"/>
      </rPr>
      <t xml:space="preserve"> da distribuição.</t>
    </r>
  </si>
  <si>
    <t>• Também não reflete os valores de juros e de amortização pagos a cada mês pelo mutuário, quando do pagamento da prestação.</t>
  </si>
  <si>
    <r>
      <t xml:space="preserve">• Esta planilha é parte integrante do artigo </t>
    </r>
    <r>
      <rPr>
        <b/>
        <sz val="11"/>
        <color theme="1"/>
        <rFont val="Calibri"/>
        <family val="2"/>
        <scheme val="minor"/>
      </rPr>
      <t>Duodécuplo: os erros do Recurso Especial Repetitivo 973.827 RS,</t>
    </r>
  </si>
  <si>
    <t>Processo de formação dos juros</t>
  </si>
  <si>
    <t>Operação de juros compostos</t>
  </si>
  <si>
    <t>Prazo (meses)</t>
  </si>
  <si>
    <t>Valor total dos juros</t>
  </si>
  <si>
    <t>Processo de pagamento dos juros</t>
  </si>
  <si>
    <t>(tabela de evolução do saldo devedor)</t>
  </si>
  <si>
    <t>(Fórmula Price de cálculo dos juros)</t>
  </si>
  <si>
    <t xml:space="preserve">   Os juros calculados a cada mês são pagos no próprio mês, não incorporando para o mês seguinte.</t>
  </si>
  <si>
    <t>• Copie a linha da parcela 36 até alcançar o número de prestações de SEU contrato.</t>
  </si>
  <si>
    <t>• Não se preocupe em fazer o ajuste nas colunas (muito trabalhoso, não vale a pena).</t>
  </si>
  <si>
    <t>Juros de cada mês, formados por juros lineares + juros sobre juros</t>
  </si>
  <si>
    <t>Formação dos juros por capitalização mensal</t>
  </si>
  <si>
    <t>• Operações seguintes, como o fluxo de caixa descontado e a tabela de evolução do saldo devedor, não calculam juros.</t>
  </si>
  <si>
    <t xml:space="preserve">   Apenas distribuem o valor total de juros calculado pela Fórmula Price de cálculo do valor da prestação.</t>
  </si>
  <si>
    <t xml:space="preserve">   □ Valor dos juros (valor que foi "descontado" do valor da prestação)</t>
  </si>
  <si>
    <t>• No primeiro mês:</t>
  </si>
  <si>
    <t xml:space="preserve">   o O principal do primeiro mês é o próprio valor presente da prestação.</t>
  </si>
  <si>
    <t xml:space="preserve">   o A taxa mensal de juros, aplicada sobre este principal, gera o valor de juros do primeiro mês.</t>
  </si>
  <si>
    <t>• No segundo mês:</t>
  </si>
  <si>
    <t xml:space="preserve">   o O principal do segundo mês é a soma do principal do primeiro mês com o valor de juros do primeiro mês (capitalização).</t>
  </si>
  <si>
    <t>resultado da soma dos juros do mês 01</t>
  </si>
  <si>
    <t>Identificação dos juros lineares e dos juros sobre juros</t>
  </si>
  <si>
    <t>• Para cada prestação temos:</t>
  </si>
  <si>
    <t xml:space="preserve">   o No primeiro mês:</t>
  </si>
  <si>
    <t xml:space="preserve">       - Os juros lineares são resultado da aplicação da taxa mensal sobre o valor presente (principal).</t>
  </si>
  <si>
    <t xml:space="preserve">   o No segundo mês:</t>
  </si>
  <si>
    <t xml:space="preserve">       - Os juros lineares são resultado da aplicação da taxa mensal sobre o valor presente (principal original, sem capitalização de juros).</t>
  </si>
  <si>
    <t xml:space="preserve">   o E assim até o último mês da prestação.</t>
  </si>
  <si>
    <t>Juros acumulados até o mês anterior</t>
  </si>
  <si>
    <t>• Situação que certamente faria Richard Price revirar no túmulo, revoltado com as abusivas distorções de sua fórmula.</t>
  </si>
  <si>
    <t>• É a análise de um contrato de financiamento com prazo de 36 meses, regido por TP, objeto do Recurso Especial.</t>
  </si>
  <si>
    <t>principal do mês 01</t>
  </si>
  <si>
    <t>principal do mês 02</t>
  </si>
  <si>
    <t>juros do mês 02</t>
  </si>
  <si>
    <t>juros do mês 01</t>
  </si>
  <si>
    <r>
      <t xml:space="preserve">   Se VOCÊ tiver interesse em estudar com mais detalhe e precisar intencionalmente fazer alterações, a senha é "</t>
    </r>
    <r>
      <rPr>
        <b/>
        <sz val="11"/>
        <color theme="1"/>
        <rFont val="Calibri"/>
        <family val="2"/>
        <scheme val="minor"/>
      </rPr>
      <t>price</t>
    </r>
    <r>
      <rPr>
        <sz val="11"/>
        <color theme="1"/>
        <rFont val="Calibri"/>
        <family val="2"/>
        <scheme val="minor"/>
      </rPr>
      <t>".</t>
    </r>
  </si>
  <si>
    <t>DIVERGENTE</t>
  </si>
  <si>
    <t xml:space="preserve">ou de </t>
  </si>
  <si>
    <t>.</t>
  </si>
  <si>
    <t xml:space="preserve">• Se VOCÊ substituir os dados da planilha pelos de SEU contrato, podem aparecer avisos de </t>
  </si>
  <si>
    <t xml:space="preserve">   São apenas alertas, não impedem os cálculos.</t>
  </si>
  <si>
    <t>FALTA ATUALIZAR A TABELA XX</t>
  </si>
  <si>
    <t xml:space="preserve">   Confira se os dados estão OK.</t>
  </si>
  <si>
    <t>Valor bimestral de juros efetivos</t>
  </si>
  <si>
    <t>Taxa bimestral de juros efetivos</t>
  </si>
  <si>
    <t>Valor bimestral de juros nominais</t>
  </si>
  <si>
    <t>Taxa bimestral de juros nominais</t>
  </si>
  <si>
    <t>• Se seu objetivo é acompanhar a análise que fizemos do contrato objeto do REsp. 973.827 RS - STJ, não há necessidade de alterar nada.</t>
  </si>
  <si>
    <t>• Se as 2 taxas mensais calculadas forem iguais à taxa mensal informada, isto é prova de que estão consistentes entre si, podemos continuar.</t>
  </si>
  <si>
    <t xml:space="preserve">   □ Valor presente (principal, amortização)</t>
  </si>
  <si>
    <t>Valor e taxa do primeiro mês do período</t>
  </si>
  <si>
    <t>Principal do período</t>
  </si>
  <si>
    <t>• As taxas anuais estipuladas contratualmente tem necessariamente valores anuais correspondentes.</t>
  </si>
  <si>
    <t xml:space="preserve">                    Detalhando juros lineares e juros sobre juros</t>
  </si>
  <si>
    <t>Juros compostos</t>
  </si>
  <si>
    <t>• Suponhamos uma prestação com principal (valor presente) de R$ 100,00, taxa mensal de 10% e prazo de 2 meses.</t>
  </si>
  <si>
    <t>Tabela 08.01 - Valor de juros compostos (com capitalização de juros)</t>
  </si>
  <si>
    <t>Tabela 08.02 - Valor de juros lineares (sem capitalização de juros)</t>
  </si>
  <si>
    <t xml:space="preserve">• Antes de avançar na análise do contrato objeto do Recurso Especial é importante firmar os conceitos de </t>
  </si>
  <si>
    <t xml:space="preserve">   valor de juros compostos, valor de juros lineares e valor de juros sobre juros.</t>
  </si>
  <si>
    <t>• O principal do primeiro mês é R$ 100,00, que é o valor presente da prestação.</t>
  </si>
  <si>
    <t>• O valor de juros no primeiro mês é de R$ 10,00 (10% X os R$ 100,00 de principal).</t>
  </si>
  <si>
    <t>• O principal do segundo mês é R$ 110,00, resultado da capitalização dos juros do mês anterior (R$ 100,00 + R$ 10,00).</t>
  </si>
  <si>
    <t>• O valor de juros no segundo mês é de R$ 11,00 (10% X os R$ 110,00 de principal capitalizado).</t>
  </si>
  <si>
    <t>• O principal do segundo mês continua sendo R$ 100,00, os juros do mês anterior não são capitalizados.</t>
  </si>
  <si>
    <t>• O valor de juros no segundo mês é de R$ 10,00 (10% X os R$ 100,00 de principal).</t>
  </si>
  <si>
    <t>• O principal do primeiro mês é R$ 0,00 (ainda não existem juros anteriores).</t>
  </si>
  <si>
    <t>• O valor de juros no primeiro mês por óbvio é de R$ 0,00 (10% X os R$ 0,00 de principal).</t>
  </si>
  <si>
    <t>• O principal do segundo mês é R$ 10,00,  que são os juros lineares do mês 01.</t>
  </si>
  <si>
    <t>• O valor de juros no segundo mês é de R$ 1,00 (10% X os R$ 10,00 de principal).</t>
  </si>
  <si>
    <t>• Voltando ao contrato objeto de nossa análise.</t>
  </si>
  <si>
    <t>• Antes de continuar a análise do contrato objeto do Recurso Especial, vamos firmar os conceitos de valor de juros efetivos,</t>
  </si>
  <si>
    <t xml:space="preserve">   valor de juros nominais e valor de juros sobre juros.</t>
  </si>
  <si>
    <t xml:space="preserve">   E identificar aí as taxas e valores bimestrais do período.</t>
  </si>
  <si>
    <t>• O valor de juros no primeiro mês do período é de R$ 10,00.</t>
  </si>
  <si>
    <t xml:space="preserve">   Que representa taxa mensal de 10% (R$ 10,00 de juros sobre principal de R$ 100,00).</t>
  </si>
  <si>
    <t xml:space="preserve">   Que, por óbvio, é a taxa mensal estipulada contratualmente.</t>
  </si>
  <si>
    <t>• O valor bimestral de juros nominais de R$ 20,00 é necessariamente igual ao dobro do valor de juros mensais de R$ 10,00 do primeiro mês do período.</t>
  </si>
  <si>
    <t>• O valor bimestral de juros efetivos de R$ 21,00 é necessariamente maior do que o dobro do valor de juros mensais de R$ 10,00 do primeiro mês do período.</t>
  </si>
  <si>
    <t>• A diferença a maior é decorrente dos R$ 1,00 de juros sobre juros incorridos no período.</t>
  </si>
  <si>
    <t xml:space="preserve">   Que representam a taxa bimestral de juros nominais de 20% (R$ 20,00 de juros lineares sobre principal de R$ 100,00).</t>
  </si>
  <si>
    <t xml:space="preserve">   Que representam a taxa bimestral de juros efetivos de 21% (R$ 21,00 de juros compostos sobre principal de R$ 100,00).</t>
  </si>
  <si>
    <t>Total de juros compostos</t>
  </si>
  <si>
    <t>Total de juros lineares</t>
  </si>
  <si>
    <t>Total de juros sobre juros</t>
  </si>
  <si>
    <t xml:space="preserve">   Que representam a taxa bimestral de juros sobre juros de 1% (R$ 1,00 de juros sobre juros sobre principal de R$ 100,00).</t>
  </si>
  <si>
    <t>• O que fizemos foi apenas decompor os juros efetivos (compostos) em suas parcelas de juros nominais (lineares) e de juros sobre juros:</t>
  </si>
  <si>
    <t xml:space="preserve">   Facilita a visualização porque, pelo fato de ter exatamente 12 meses, os principais valores anuais e taxas anuais correspondentes </t>
  </si>
  <si>
    <t xml:space="preserve">    aparecem espontaneamente, sem necessidade de cálculos adicionais.</t>
  </si>
  <si>
    <t>valor efetivo</t>
  </si>
  <si>
    <t>principal</t>
  </si>
  <si>
    <t>taxa efetiva</t>
  </si>
  <si>
    <t>valor nominal</t>
  </si>
  <si>
    <t>taxa nominal</t>
  </si>
  <si>
    <t>valor mês 01</t>
  </si>
  <si>
    <t>taxa mensal</t>
  </si>
  <si>
    <t xml:space="preserve">   - O valor total de juros nominais nos 12 meses dividido pelo principal do mês 01 é a taxa anual nominal no período analisado.</t>
  </si>
  <si>
    <r>
      <t xml:space="preserve">• 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>, apesar de aparentemente complexa, tem conceitos muito simples.</t>
    </r>
  </si>
  <si>
    <t xml:space="preserve">       - Os juros sobre juros são resultado da aplicação da taxa mensal sobre o total de juros acumulados até o mês anterior.</t>
  </si>
  <si>
    <t>Tabela 10 - Valores básicos do contrato - detalhamento por juros lineares + juros sobre juros</t>
  </si>
  <si>
    <t>• O valor dos juros no primeiro mês do período dividido pelo principal resulta na taxa mensal de juros.</t>
  </si>
  <si>
    <t>• O valor bimestral de juros efetivos (isto é, o valor de juros que o mutuário efetivamente pagou no período de 2 meses) é de R$ 21,00.</t>
  </si>
  <si>
    <t xml:space="preserve">• O valor bimestral de juros nominais (isto é, o valor de juros que o mutuário pagaria no período de 2 meses se não houvesse </t>
  </si>
  <si>
    <r>
      <t xml:space="preserve">   - O valor total de juros sobre juros nos 12 meses dividido pelo principal do mês 1 da </t>
    </r>
    <r>
      <rPr>
        <b/>
        <sz val="11"/>
        <color theme="1"/>
        <rFont val="Calibri"/>
        <family val="2"/>
        <scheme val="minor"/>
      </rPr>
      <t>Tabela 11.01</t>
    </r>
    <r>
      <rPr>
        <sz val="11"/>
        <color theme="1"/>
        <rFont val="Calibri"/>
        <family val="2"/>
        <scheme val="minor"/>
      </rPr>
      <t xml:space="preserve"> é a taxa anual de juros sobre juros</t>
    </r>
  </si>
  <si>
    <t xml:space="preserve">   É o último período de 12 meses do contrato.</t>
  </si>
  <si>
    <r>
      <t xml:space="preserve">• O quadro </t>
    </r>
    <r>
      <rPr>
        <b/>
        <sz val="11"/>
        <color theme="1"/>
        <rFont val="Calibri"/>
        <family val="2"/>
        <scheme val="minor"/>
      </rPr>
      <t>Valores a distribuir, ANTES da Tabela</t>
    </r>
    <r>
      <rPr>
        <sz val="11"/>
        <color theme="1"/>
        <rFont val="Calibri"/>
        <family val="2"/>
        <scheme val="minor"/>
      </rPr>
      <t xml:space="preserve"> apresenta os valores básicos do contrato, informados na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>.</t>
    </r>
  </si>
  <si>
    <t>Juros s/ juros</t>
  </si>
  <si>
    <t>Valor anual de juros efetivos (é o valor total de juros da prestação)</t>
  </si>
  <si>
    <t>Valor anual de juros nominais (é o valor de juros lineares da prestação)</t>
  </si>
  <si>
    <t>Valor anual de juros sobre juros (é o valor dos juros sobre juros incorridos no período)</t>
  </si>
  <si>
    <t>• O valor anual de juros nominais dividido pelo principal resulta na taxa anual de juros nominais.</t>
  </si>
  <si>
    <t>• O valor anual de juros nominais é necessariamente igual ao duodécuplo do valor</t>
  </si>
  <si>
    <t>• O valor anual de juros efetivos é necessariamente maior do que o duodécuplo do valor</t>
  </si>
  <si>
    <t>Valor total juros</t>
  </si>
  <si>
    <t xml:space="preserve">• A tabela de evolução do saldo devedor, segundo o argumento de que é operação de cálculo de juros, </t>
  </si>
  <si>
    <t xml:space="preserve">   Utilizando a Fórmula Price, temos que para este contrato o valor total de juros é de:</t>
  </si>
  <si>
    <t>• Se VOCÊ não alterou os dados originais da planilha, este é o resumo da análise que fizemos do contrato objeto do REsp. 973.827 RS - STJ.</t>
  </si>
  <si>
    <t>• Se VOCÊ alterou os dados originais da planilha, este é o resumo da análise de SEU contrato.</t>
  </si>
  <si>
    <t>Valor primeira prestação</t>
  </si>
  <si>
    <t xml:space="preserve">• Por uma questão de precisão nas casas decimais utilizaremos o valor de prestação calculado por nós mesmos, </t>
  </si>
  <si>
    <t xml:space="preserve">  ao invés do valor informado no contrato.</t>
  </si>
  <si>
    <t>...</t>
  </si>
  <si>
    <t xml:space="preserve">   Facilita a visualização porque, pelo fato de ter exatamente 12 meses, os principais valores anuais e taxas anuais aparecem espontaneamente,</t>
  </si>
  <si>
    <t xml:space="preserve">    sem necessidade de cálculos adicionais.</t>
  </si>
  <si>
    <t>• Mas serve também de base para VOCÊ calcular e analisar os juros de SEU contrato de financiamento regido por TP:</t>
  </si>
  <si>
    <t xml:space="preserve">   Se for diferença apenas de arredondamento, ignore o alerta.</t>
  </si>
  <si>
    <t>• O objetivo é fazer uma análise crítica do acórdão do Recurso.</t>
  </si>
  <si>
    <t>Principal do período (que no caso é o valor presente da prestação)</t>
  </si>
  <si>
    <t xml:space="preserve">• Não faz sentido então o argumento de que o fato do valor dos juros ser menor do que o valor da prestação é prova de </t>
  </si>
  <si>
    <t>• Se o valor Informado e o valor calculado forem iguais entre si é prova de que os dados informados estão corretos, podemos continuar.</t>
  </si>
  <si>
    <t>• Utilizaremos daqui para a frente o valor calculado, que tem mais precisão nas casas decimais.</t>
  </si>
  <si>
    <t xml:space="preserve">     Valor total de juros = Montante - Principal</t>
  </si>
  <si>
    <t>Quadro 1</t>
  </si>
  <si>
    <t>Quadro 2</t>
  </si>
  <si>
    <t>• Vamos utilizar o exemplo já visto de prestação com principal (valor presente) de R$ 100,00, taxa mensal de 10% e prazo de 2 meses.</t>
  </si>
  <si>
    <t xml:space="preserve">   capitalização de juros) é de R$ 20,00.</t>
  </si>
  <si>
    <t>Valor anual dos juros sobre juros (é o valor dos juros sobre juros incorridos no período).</t>
  </si>
  <si>
    <t>• O valor anual de juros efetivos dividido pelo principal resulta na taxa anual de juros efetivos.</t>
  </si>
  <si>
    <t>• Ninguém questiona que a Fórmula Price de cálculo de valor da prestação é uma operação de juros compostos.</t>
  </si>
  <si>
    <t xml:space="preserve">   Que é (por óbvio) a taxa mensal de juros definida nas cláusulas contratuais.</t>
  </si>
  <si>
    <t>Tabela 09 - Juros lineares e juros sobre juros em cada mês da prestação</t>
  </si>
  <si>
    <r>
      <t xml:space="preserve">• Confira se todas as fórmulas da linha de </t>
    </r>
    <r>
      <rPr>
        <b/>
        <sz val="11"/>
        <color rgb="FF0070C0"/>
        <rFont val="Calibri"/>
        <family val="2"/>
        <scheme val="minor"/>
      </rPr>
      <t>Total</t>
    </r>
    <r>
      <rPr>
        <sz val="11"/>
        <color rgb="FF0070C0"/>
        <rFont val="Calibri"/>
        <family val="2"/>
        <scheme val="minor"/>
      </rPr>
      <t xml:space="preserve"> estão corretas.</t>
    </r>
  </si>
  <si>
    <r>
      <t xml:space="preserve">• A linha deve ter os mesmos valores da tabela </t>
    </r>
    <r>
      <rPr>
        <b/>
        <sz val="11"/>
        <color rgb="FF0070C0"/>
        <rFont val="Calibri"/>
        <family val="2"/>
        <scheme val="minor"/>
      </rPr>
      <t>Tabela 05.</t>
    </r>
  </si>
  <si>
    <r>
      <t xml:space="preserve">   E a soma de </t>
    </r>
    <r>
      <rPr>
        <b/>
        <sz val="11"/>
        <color rgb="FF0070C0"/>
        <rFont val="Calibri"/>
        <family val="2"/>
        <scheme val="minor"/>
      </rPr>
      <t>Juros lineares</t>
    </r>
    <r>
      <rPr>
        <sz val="11"/>
        <color rgb="FF0070C0"/>
        <rFont val="Calibri"/>
        <family val="2"/>
        <scheme val="minor"/>
      </rPr>
      <t xml:space="preserve"> + </t>
    </r>
    <r>
      <rPr>
        <b/>
        <sz val="11"/>
        <color rgb="FF0070C0"/>
        <rFont val="Calibri"/>
        <family val="2"/>
        <scheme val="minor"/>
      </rPr>
      <t>Juros sobre Juros</t>
    </r>
    <r>
      <rPr>
        <sz val="11"/>
        <color rgb="FF0070C0"/>
        <rFont val="Calibri"/>
        <family val="2"/>
        <scheme val="minor"/>
      </rPr>
      <t xml:space="preserve"> deve ser igual ao </t>
    </r>
    <r>
      <rPr>
        <b/>
        <sz val="11"/>
        <color rgb="FF0070C0"/>
        <rFont val="Calibri"/>
        <family val="2"/>
        <scheme val="minor"/>
      </rPr>
      <t>Valor Total Juros</t>
    </r>
    <r>
      <rPr>
        <sz val="11"/>
        <color rgb="FF0070C0"/>
        <rFont val="Calibri"/>
        <family val="2"/>
        <scheme val="minor"/>
      </rPr>
      <t>.</t>
    </r>
  </si>
  <si>
    <r>
      <t xml:space="preserve">• Confira se os totais das colunas </t>
    </r>
    <r>
      <rPr>
        <b/>
        <sz val="11"/>
        <color rgb="FF0070C0"/>
        <rFont val="Calibri"/>
        <family val="2"/>
        <scheme val="minor"/>
      </rPr>
      <t>Prestação</t>
    </r>
    <r>
      <rPr>
        <sz val="11"/>
        <color rgb="FF0070C0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Valor Presente</t>
    </r>
    <r>
      <rPr>
        <sz val="11"/>
        <color rgb="FF0070C0"/>
        <rFont val="Calibri"/>
        <family val="2"/>
        <scheme val="minor"/>
      </rPr>
      <t xml:space="preserve"> e </t>
    </r>
    <r>
      <rPr>
        <b/>
        <sz val="11"/>
        <color rgb="FF0070C0"/>
        <rFont val="Calibri"/>
        <family val="2"/>
        <scheme val="minor"/>
      </rPr>
      <t>Juros</t>
    </r>
    <r>
      <rPr>
        <sz val="11"/>
        <color rgb="FF0070C0"/>
        <rFont val="Calibri"/>
        <family val="2"/>
        <scheme val="minor"/>
      </rPr>
      <t xml:space="preserve">, são iguais aos valores da </t>
    </r>
    <r>
      <rPr>
        <b/>
        <sz val="11"/>
        <color rgb="FF0070C0"/>
        <rFont val="Calibri"/>
        <family val="2"/>
        <scheme val="minor"/>
      </rPr>
      <t>Tabela 05</t>
    </r>
    <r>
      <rPr>
        <sz val="11"/>
        <color rgb="FF0070C0"/>
        <rFont val="Calibri"/>
        <family val="2"/>
        <scheme val="minor"/>
      </rPr>
      <t>.</t>
    </r>
  </si>
  <si>
    <r>
      <t xml:space="preserve">• Confira se os totais das colunas </t>
    </r>
    <r>
      <rPr>
        <b/>
        <sz val="11"/>
        <color rgb="FF0070C0"/>
        <rFont val="Calibri"/>
        <family val="2"/>
        <scheme val="minor"/>
      </rPr>
      <t>Prestação</t>
    </r>
    <r>
      <rPr>
        <sz val="11"/>
        <color rgb="FF0070C0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Juros</t>
    </r>
    <r>
      <rPr>
        <sz val="11"/>
        <color rgb="FF0070C0"/>
        <rFont val="Calibri"/>
        <family val="2"/>
        <scheme val="minor"/>
      </rPr>
      <t xml:space="preserve"> e </t>
    </r>
    <r>
      <rPr>
        <b/>
        <sz val="11"/>
        <color rgb="FF0070C0"/>
        <rFont val="Calibri"/>
        <family val="2"/>
        <scheme val="minor"/>
      </rPr>
      <t>Amortização</t>
    </r>
    <r>
      <rPr>
        <sz val="11"/>
        <color rgb="FF0070C0"/>
        <rFont val="Calibri"/>
        <family val="2"/>
        <scheme val="minor"/>
      </rPr>
      <t xml:space="preserve">, são iguais aos valores da </t>
    </r>
    <r>
      <rPr>
        <b/>
        <sz val="11"/>
        <color rgb="FF0070C0"/>
        <rFont val="Calibri"/>
        <family val="2"/>
        <scheme val="minor"/>
      </rPr>
      <t>Tabela 05</t>
    </r>
    <r>
      <rPr>
        <sz val="11"/>
        <color rgb="FF0070C0"/>
        <rFont val="Calibri"/>
        <family val="2"/>
        <scheme val="minor"/>
      </rPr>
      <t>.</t>
    </r>
  </si>
  <si>
    <r>
      <t xml:space="preserve">• Confira se todas as fórmulas da linha de </t>
    </r>
    <r>
      <rPr>
        <b/>
        <sz val="11"/>
        <color rgb="FF0070C0"/>
        <rFont val="Calibri"/>
        <family val="2"/>
        <scheme val="minor"/>
      </rPr>
      <t>Totais</t>
    </r>
    <r>
      <rPr>
        <sz val="11"/>
        <color rgb="FF0070C0"/>
        <rFont val="Calibri"/>
        <family val="2"/>
        <scheme val="minor"/>
      </rPr>
      <t xml:space="preserve"> estão corretas.</t>
    </r>
  </si>
  <si>
    <r>
      <t xml:space="preserve">• Confira se os totais das colunas </t>
    </r>
    <r>
      <rPr>
        <b/>
        <sz val="11"/>
        <color rgb="FF0070C0"/>
        <rFont val="Calibri"/>
        <family val="2"/>
        <scheme val="minor"/>
      </rPr>
      <t>Prestação</t>
    </r>
    <r>
      <rPr>
        <sz val="11"/>
        <color rgb="FF0070C0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Juros lineares</t>
    </r>
    <r>
      <rPr>
        <sz val="11"/>
        <color rgb="FF0070C0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Juros sobre juros</t>
    </r>
    <r>
      <rPr>
        <sz val="11"/>
        <color rgb="FF0070C0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Total de juros</t>
    </r>
    <r>
      <rPr>
        <sz val="11"/>
        <color rgb="FF0070C0"/>
        <rFont val="Calibri"/>
        <family val="2"/>
        <scheme val="minor"/>
      </rPr>
      <t xml:space="preserve"> e </t>
    </r>
    <r>
      <rPr>
        <b/>
        <sz val="11"/>
        <color rgb="FF0070C0"/>
        <rFont val="Calibri"/>
        <family val="2"/>
        <scheme val="minor"/>
      </rPr>
      <t>Amortização</t>
    </r>
    <r>
      <rPr>
        <sz val="11"/>
        <color rgb="FF0070C0"/>
        <rFont val="Calibri"/>
        <family val="2"/>
        <scheme val="minor"/>
      </rPr>
      <t xml:space="preserve">, são iguais aos valores da </t>
    </r>
    <r>
      <rPr>
        <b/>
        <sz val="11"/>
        <color rgb="FF0070C0"/>
        <rFont val="Calibri"/>
        <family val="2"/>
        <scheme val="minor"/>
      </rPr>
      <t>Tabela 10</t>
    </r>
    <r>
      <rPr>
        <sz val="11"/>
        <color rgb="FF0070C0"/>
        <rFont val="Calibri"/>
        <family val="2"/>
        <scheme val="minor"/>
      </rPr>
      <t>.</t>
    </r>
  </si>
  <si>
    <r>
      <t xml:space="preserve">• Confira se TODAS as fórmulas da linha de </t>
    </r>
    <r>
      <rPr>
        <b/>
        <sz val="11"/>
        <color rgb="FF0070C0"/>
        <rFont val="Calibri"/>
        <family val="2"/>
        <scheme val="minor"/>
      </rPr>
      <t>Total</t>
    </r>
    <r>
      <rPr>
        <sz val="11"/>
        <color rgb="FF0070C0"/>
        <rFont val="Calibri"/>
        <family val="2"/>
        <scheme val="minor"/>
      </rPr>
      <t xml:space="preserve"> estão corretas.</t>
    </r>
  </si>
  <si>
    <t>• Sua lógica é de distribuição, não é de cálculo.</t>
  </si>
  <si>
    <t>Tabela 09 - Juros lineares e juros sobre juros em cada mês da prestação (apenas a prestação 12)</t>
  </si>
  <si>
    <t>• E assim até o último mês do contrato.</t>
  </si>
  <si>
    <t>Substitua as cláusulas contratuais</t>
  </si>
  <si>
    <r>
      <t xml:space="preserve">• Demonstramos na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 xml:space="preserve"> que os juros de cada prestação são juros compostos, formados por processo de capitalização mensal.</t>
    </r>
  </si>
  <si>
    <t>• São, portanto, necessariamente formados por uma parcela de juros lineares e uma de juros sobre juros.</t>
  </si>
  <si>
    <t>• O principal do período (bimestre) é R$ 100,00, que no exemplo é o valor presente da prestação.</t>
  </si>
  <si>
    <t>Os juros efetivos de R$ 21,00 são formados por R$ 20,00 de juros nominais + R$ 1,00 de juros sobre juros.</t>
  </si>
  <si>
    <t>R$ 20,00 de valor bimestral de juros nominais  =  (R$ 10,00 de valor de juros primeiro mês  X  2).</t>
  </si>
  <si>
    <t>R$ 21,00 de valor bimestral de juros efetivos  &gt;  (R$ 10,00 de valor de juros primeiro mês  X  2).</t>
  </si>
  <si>
    <t>• As taxas anuais e seus correspondentes valores anuais são consistentes para o contrato como um todo:</t>
  </si>
  <si>
    <t xml:space="preserve">   São identificadas em qualquer período contínuo de 12 meses, em qualquer prestação que tenha 12 ou mais meses.</t>
  </si>
  <si>
    <t xml:space="preserve">   A análise do duodécuplo tem que ser feita com base em valores anuais de cada contrato (concretos), não em taxas anuais (abstratas).</t>
  </si>
  <si>
    <t>1) Duodécuplo:  Os erros do Recurso Especial Repetitivo 973.827 RS</t>
  </si>
  <si>
    <t>2) Resumo da análise: Os juros sobre juros da Tabela Price e o duodécuplo</t>
  </si>
  <si>
    <t>3) Os juros sobre juros da Tabela Price</t>
  </si>
  <si>
    <t>4) Duodécuplo - O valor anual de juros efetivos e o valor anual de juros nominais</t>
  </si>
  <si>
    <t>5) A evolução do saldo devedor</t>
  </si>
  <si>
    <t>1.1) Apresentação</t>
  </si>
  <si>
    <t>Contatos</t>
  </si>
  <si>
    <t>• César Menezes</t>
  </si>
  <si>
    <t xml:space="preserve">   cesarm@uol.com.br</t>
  </si>
  <si>
    <t>• Dr. Angelo Marcelo Gasperini</t>
  </si>
  <si>
    <t xml:space="preserve">   www.gasperinieassociados.com.br</t>
  </si>
  <si>
    <t>2.1) Os juros sobre juros da Tabela Price</t>
  </si>
  <si>
    <t>2.1.1) As cláusulas do contrato</t>
  </si>
  <si>
    <t>3.1) Passos para substituir as cláusulas do exemplo pelas de SEU contrato</t>
  </si>
  <si>
    <r>
      <t xml:space="preserve">Informado por Você na </t>
    </r>
    <r>
      <rPr>
        <b/>
        <sz val="11"/>
        <color rgb="FF0070C0"/>
        <rFont val="Calibri"/>
        <family val="2"/>
        <scheme val="minor"/>
      </rPr>
      <t>Tabela 01</t>
    </r>
  </si>
  <si>
    <r>
      <t>R = (P * i) / (1 - (1 / (1 + i)</t>
    </r>
    <r>
      <rPr>
        <vertAlign val="superscript"/>
        <sz val="11"/>
        <color rgb="FF0070C0"/>
        <rFont val="Calibri"/>
        <family val="2"/>
        <scheme val="minor"/>
      </rPr>
      <t>n</t>
    </r>
  </si>
  <si>
    <t>de nosso exemplo pelas cláusulas</t>
  </si>
  <si>
    <t>de SEU contrato.</t>
  </si>
  <si>
    <r>
      <t xml:space="preserve">• Segundo passo: Na </t>
    </r>
    <r>
      <rPr>
        <b/>
        <sz val="11"/>
        <color rgb="FF0070C0"/>
        <rFont val="Calibri"/>
        <family val="2"/>
        <scheme val="minor"/>
      </rPr>
      <t>Tabela 01 - As cláusulas contratuais</t>
    </r>
    <r>
      <rPr>
        <sz val="11"/>
        <color rgb="FF0070C0"/>
        <rFont val="Calibri"/>
        <family val="2"/>
        <scheme val="minor"/>
      </rPr>
      <t xml:space="preserve"> substitua as cláusulas contratuais do exemplo pelas de SEU contrato.</t>
    </r>
  </si>
  <si>
    <r>
      <t xml:space="preserve">      □ </t>
    </r>
    <r>
      <rPr>
        <b/>
        <sz val="11"/>
        <color rgb="FF0070C0"/>
        <rFont val="Calibri"/>
        <family val="2"/>
        <scheme val="minor"/>
      </rPr>
      <t>Tabela 06 - Valor futuro, valor presente e valor de juros em cada prestação</t>
    </r>
  </si>
  <si>
    <r>
      <t xml:space="preserve">      Em todas confira se a linha de </t>
    </r>
    <r>
      <rPr>
        <b/>
        <sz val="11"/>
        <color rgb="FF0070C0"/>
        <rFont val="Calibri"/>
        <family val="2"/>
        <scheme val="minor"/>
      </rPr>
      <t>Total</t>
    </r>
    <r>
      <rPr>
        <sz val="11"/>
        <color rgb="FF0070C0"/>
        <rFont val="Calibri"/>
        <family val="2"/>
        <scheme val="minor"/>
      </rPr>
      <t xml:space="preserve"> está correta.</t>
    </r>
  </si>
  <si>
    <t>4.1) Os conceitos de valor de juros efetivos, valor de juros nominais e valor de juros sobre juros</t>
  </si>
  <si>
    <t>• Desta forma conseguirá identificar:</t>
  </si>
  <si>
    <t xml:space="preserve">   - Quanto VOCÊ está pagando de juros sobre juros a cada mês, em cada prestação e no contrato como um todo;</t>
  </si>
  <si>
    <t>• A cópia da planilha e do artigo são livres, desde que citada a fonte e os contatos.</t>
  </si>
  <si>
    <t>• Como resultado direto da Fórmula Price de cálculo do valor da prestação havíamos identificado os seguintes valores básicos do contrato:</t>
  </si>
  <si>
    <t xml:space="preserve">   identificamos agora que os valores básicos do contrato na verdade são:</t>
  </si>
  <si>
    <r>
      <t xml:space="preserve">• 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apenas identificando, mês a mês, quanto de cada valor de juros compostos é formado por juros lineares e quanto por juros sobre juros.</t>
    </r>
  </si>
  <si>
    <t>Relembrando: as taxas de juros no contrato (cláusulas contratuais)</t>
  </si>
  <si>
    <t>5.1) Uma lenda urbana</t>
  </si>
  <si>
    <t>4.2) Análise do valor anual efetivo e do valor anual nominal na prestação 12 do contrato</t>
  </si>
  <si>
    <t>• Podemos deduzir a seguinte regra geral:</t>
  </si>
  <si>
    <t>A versão completa da lenda é algo como:</t>
  </si>
  <si>
    <t>• O valor dos juros em cada prestação é calculado pela tabela de evolução do saldo devedor.</t>
  </si>
  <si>
    <t>• No primeiro mês a taxa mensal de juros é aplicada sobre o saldo devedor, que no caso é o valor financiado (principal).</t>
  </si>
  <si>
    <t>• Os juros calculados são subtraídos do valor da prestação, resultando no valor de amortização.</t>
  </si>
  <si>
    <t>• Quando o mutuário paga a primeira prestação está pagando este valor de juros e este valor de amortização.</t>
  </si>
  <si>
    <t xml:space="preserve">• Como o valor de juros é menor do que o valor da prestação, os juros são integralmente quitados no mês, </t>
  </si>
  <si>
    <t xml:space="preserve">   não acumulando para o mês seguinte.</t>
  </si>
  <si>
    <t>• Isto é prova de que não existe anatocismo (capitalização de juros).</t>
  </si>
  <si>
    <t>• O valor de amortização é subtraído do saldo devedor, resultando no saldo devedor para o segundo mês.</t>
  </si>
  <si>
    <t>• A operação se repete até o último mês do contrato, quando o saldo devedor é zerado, quitando o financiamento.</t>
  </si>
  <si>
    <t>• Isto é apenas uma lenda urbana.</t>
  </si>
  <si>
    <t xml:space="preserve">   Não tem qualquer fundamento na realidade.</t>
  </si>
  <si>
    <t xml:space="preserve">• É uma versão amplamente divulgada a de que a tabela de evolução do saldo devedor, na forma usualmente empregada </t>
  </si>
  <si>
    <t xml:space="preserve">   pela Tabela Price, é uma operação de cálculo de juros.</t>
  </si>
  <si>
    <t xml:space="preserve">• Outra lenda, decorrente da primeira, é a de que Tabela Price é um sistema de financiamento em que o mutuário </t>
  </si>
  <si>
    <t xml:space="preserve">   de evolução do saldo devedor, na forma usualmente empregada pela Tabela Price, com as 36 prestações do contrato objeto do Recurso.</t>
  </si>
  <si>
    <t>Temos aqui alguns elementos importantes:</t>
  </si>
  <si>
    <t xml:space="preserve">• Se aceitássemos como verdadeiro o argumento de que a tabela de evolução do saldo devedor, na forma </t>
  </si>
  <si>
    <t xml:space="preserve">   usualmente empregada para Tabela Price, é uma operação de cálculo de juros, teríamos então a situação </t>
  </si>
  <si>
    <t xml:space="preserve">   paradoxal de que, para um mesmo principal,  mesmo prazo e mesma taxa mensal de juros, tanto faz utilizar </t>
  </si>
  <si>
    <t xml:space="preserve">  operação de juros compostos como  operação de juros simples,  o valor calculado de juros é o mesmo.</t>
  </si>
  <si>
    <t>• Apresentamos aqui apenas para demonstrar que existem vários critérios de distribuição dos</t>
  </si>
  <si>
    <t>Prova de inexistência de anatocismo</t>
  </si>
  <si>
    <t>• O montante é formado pela soma de duas partes, o valor total de juros e o principal.</t>
  </si>
  <si>
    <t>• Isto não é prova de nada.</t>
  </si>
  <si>
    <t xml:space="preserve">   Em cada mês a prestação é formada pela soma destas duas partes, os juros e a amortização.</t>
  </si>
  <si>
    <t xml:space="preserve">   inexistência de anatocismo.</t>
  </si>
  <si>
    <t xml:space="preserve">   É, no máximo, apenas prova de que o valor de cada parte é sempre menor do que o valor do todo.</t>
  </si>
  <si>
    <t xml:space="preserve">• Em qualquer desses sistemas a fórmula de cálculo do valor da prestação tem como resultado, além do próprio valor da </t>
  </si>
  <si>
    <t>• O montante é a soma de todas as prestações.</t>
  </si>
  <si>
    <t xml:space="preserve">      amortização + parcela de juros</t>
  </si>
  <si>
    <t xml:space="preserve">    - Independente da fórmula utilizada e independente de usar juros simples ou juros compostos.</t>
  </si>
  <si>
    <t xml:space="preserve">   prestação, o montante e o valor total de juros.</t>
  </si>
  <si>
    <t xml:space="preserve">    - O montante é formado pelo valor total de juros + o valor de principal (valor financiado).</t>
  </si>
  <si>
    <t xml:space="preserve">    - Portanto, quando pagar a última prestação o mutuário estará pagando o total do montante.</t>
  </si>
  <si>
    <t xml:space="preserve">    - Quitando obviamente o valor total de juros e o valor de principal que formam o montante.</t>
  </si>
  <si>
    <t xml:space="preserve">   é uma operação de juros lineares.</t>
  </si>
  <si>
    <t>Operação de juros lineares</t>
  </si>
  <si>
    <t>• Utilizamos para isso o fluxo de caixa projetado e o fluxo de caixa descontado.</t>
  </si>
  <si>
    <t>• O fluxo de caixa projetado, como o próprio nome diz, é a projeção do valor de cada prestação no tempo, isto é, em seu mês de vencimento.</t>
  </si>
  <si>
    <t xml:space="preserve">   cada prestação (valor futuro) e trazê-la para seu valor no mês 0 (seu valor presente). </t>
  </si>
  <si>
    <t>• Importante notar que o mutuário inicia pagando valores proporcionalmente menores de juros e maiores de amortização.</t>
  </si>
  <si>
    <t xml:space="preserve">   À medida que o prazo do contrato avança, passa a pagar valores proporcionalmente maiores de juros e menores de amortização.</t>
  </si>
  <si>
    <t xml:space="preserve">   com identificação de juros lineares + juros sobre juros.</t>
  </si>
  <si>
    <t>• Esta tabela não faz cálculo de juros.</t>
  </si>
  <si>
    <r>
      <t xml:space="preserve">• Em seguida são feitos os cálculos da tabela, pelo critério normalmente usado pela Tabela Price, que </t>
    </r>
    <r>
      <rPr>
        <u/>
        <sz val="11"/>
        <color theme="1"/>
        <rFont val="Calibri"/>
        <family val="2"/>
        <scheme val="minor"/>
      </rPr>
      <t>parece</t>
    </r>
    <r>
      <rPr>
        <sz val="11"/>
        <color theme="1"/>
        <rFont val="Calibri"/>
        <family val="2"/>
        <scheme val="minor"/>
      </rPr>
      <t xml:space="preserve"> cálculo de juros.</t>
    </r>
  </si>
  <si>
    <t xml:space="preserve">   valores básicos do contrato.</t>
  </si>
  <si>
    <t>• Mês 01.</t>
  </si>
  <si>
    <t xml:space="preserve">   o Como é primeiro mês são apenas juros lineares, não tem juros sobre juros:</t>
  </si>
  <si>
    <t>• Mês 02.</t>
  </si>
  <si>
    <t xml:space="preserve">      independente de ter havido ou não pagamento.</t>
  </si>
  <si>
    <t xml:space="preserve">   sobreviver sem ter qualquer base real.</t>
  </si>
  <si>
    <t xml:space="preserve">   inicia pagando valores proporcionalmente maiores de juros e menores de amortização.</t>
  </si>
  <si>
    <t xml:space="preserve">   e maiores de amortização.</t>
  </si>
  <si>
    <t xml:space="preserve">   e o valor total de juros do contrato.</t>
  </si>
  <si>
    <t xml:space="preserve">   o Quando o mutuário paga a primeira prestação está pagando: </t>
  </si>
  <si>
    <t xml:space="preserve"> - O valor da prestação:</t>
  </si>
  <si>
    <t xml:space="preserve"> - Valor de amortização (seu valor presente):</t>
  </si>
  <si>
    <t xml:space="preserve">   o Quando o mutuário paga a segunda prestação está pagando: </t>
  </si>
  <si>
    <t xml:space="preserve">   quando do pagamento de cada prestação.</t>
  </si>
  <si>
    <t xml:space="preserve">   Isto é o que contabilmente se chama "regime de caixa".</t>
  </si>
  <si>
    <t xml:space="preserve">   O mutuário tem direito de saber quanto está pagando de juros capitalizados em cada prestação e no contrato como um todo.</t>
  </si>
  <si>
    <r>
      <t xml:space="preserve">• É possível comprovar isto visualmente, na própria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>:</t>
    </r>
  </si>
  <si>
    <t>• A fórmula de cálculo do valor da prestação (Fórmula Price) serve apenas para calcular o valor da prestação.</t>
  </si>
  <si>
    <t>Relembrando os valores básicos do contrato.</t>
  </si>
  <si>
    <r>
      <t xml:space="preserve">• Os valores da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 xml:space="preserve"> são resultado da Fórmula Price de cálculo do valor da prestação, que calcula também o montante </t>
    </r>
  </si>
  <si>
    <t>Distribuição de valores previamente calculados</t>
  </si>
  <si>
    <t>• Estes valores totais são distribuidos entre os meses do contrato, mantendo a composição:</t>
  </si>
  <si>
    <t xml:space="preserve">   prestação = juros + principal.</t>
  </si>
  <si>
    <r>
      <t xml:space="preserve">   valores básicos do contrato</t>
    </r>
    <r>
      <rPr>
        <sz val="11"/>
        <color theme="1"/>
        <rFont val="Calibri"/>
        <family val="2"/>
        <scheme val="minor"/>
      </rPr>
      <t>.</t>
    </r>
  </si>
  <si>
    <t xml:space="preserve"> - O valor dos juros da prestação :</t>
  </si>
  <si>
    <t>Os valores efetivamente pagos (caixa)</t>
  </si>
  <si>
    <t>A quitação do financiamento</t>
  </si>
  <si>
    <t>Na primeira prestação paga juros sobre apenas 1 mês, é a própria taxa mensal.</t>
  </si>
  <si>
    <t>Na segunda prestação paga juros sobre 2 meses, ou seja, o dobro da taxa mensal mais os juros sobre a capitalização do mês anterior.</t>
  </si>
  <si>
    <t>Na terceira prestação paga juros sobre 3 meses, ou seja, o triplo da taxa mensal mais os juros sobre a capitalização até o mês anterior.</t>
  </si>
  <si>
    <t>Os juros incorridos todo mês por regime de competência</t>
  </si>
  <si>
    <t>• Como decorrência direta da Fórmula Price de cálculo do valor da prestação temos também o montante e o valor total de juros.</t>
  </si>
  <si>
    <t>2.3) A evolução do saldo devedor</t>
  </si>
  <si>
    <t>2.3.1) Uma lenda urbana</t>
  </si>
  <si>
    <t xml:space="preserve">• Se VOCÊ não alterou os dados originais da planilha, esta é a análise dos valores anuais e as correspondentes taxas anuais que se aplicam ao </t>
  </si>
  <si>
    <t xml:space="preserve">   período consecutivo de 12 meses compreendidos pelos meses 25 a 36 da prestação 36, no contrato objeto do REsp. 973.827 RS - STJ.</t>
  </si>
  <si>
    <t xml:space="preserve">   Para isso:</t>
  </si>
  <si>
    <r>
      <t xml:space="preserve">      □ </t>
    </r>
    <r>
      <rPr>
        <b/>
        <sz val="11"/>
        <color rgb="FF0070C0"/>
        <rFont val="Calibri"/>
        <family val="2"/>
        <scheme val="minor"/>
      </rPr>
      <t>Tabela 07 - O processo de formação dos juros em cada prestação</t>
    </r>
  </si>
  <si>
    <r>
      <t xml:space="preserve">      □ T</t>
    </r>
    <r>
      <rPr>
        <b/>
        <sz val="11"/>
        <color rgb="FF0070C0"/>
        <rFont val="Calibri"/>
        <family val="2"/>
        <scheme val="minor"/>
      </rPr>
      <t>abela 09 - Juros lineares e juros sobre juros em cada mês da prestação</t>
    </r>
  </si>
  <si>
    <t xml:space="preserve">          Apenas copie a linha da parcela 36 até alcançar o número de parcelas de SEU contrato.</t>
  </si>
  <si>
    <t xml:space="preserve">          Não se preocupe em fazer o ajuste nas colunas para os meses 37 em diante.</t>
  </si>
  <si>
    <t xml:space="preserve">          A análise dos 36 meses iniciais é mais do que suficiente para se entender o conceito.</t>
  </si>
  <si>
    <t>Prestação a ser consultada</t>
  </si>
  <si>
    <r>
      <t xml:space="preserve">   □ No quadro </t>
    </r>
    <r>
      <rPr>
        <b/>
        <sz val="11"/>
        <color rgb="FF0070C0"/>
        <rFont val="Calibri"/>
        <family val="2"/>
        <scheme val="minor"/>
      </rPr>
      <t>Período de 12 meses</t>
    </r>
    <r>
      <rPr>
        <sz val="11"/>
        <color rgb="FF0070C0"/>
        <rFont val="Calibri"/>
        <family val="2"/>
        <scheme val="minor"/>
      </rPr>
      <t xml:space="preserve"> informe qual é o período que VOCÊ quer consultar.</t>
    </r>
  </si>
  <si>
    <t>• Informe a prestação que deseja consultar.</t>
  </si>
  <si>
    <t>• Informe o período de 12 meses que deseja consultar.</t>
  </si>
  <si>
    <t>Período de 12 meses</t>
  </si>
  <si>
    <t>Dados da prestação selecionada</t>
  </si>
  <si>
    <t>Período de 12 meses a ser consultado</t>
  </si>
  <si>
    <t>Dados do período selecionado</t>
  </si>
  <si>
    <t>Diferença juros nominais</t>
  </si>
  <si>
    <t>Diferença juros efetivos</t>
  </si>
  <si>
    <r>
      <t xml:space="preserve">•  Aqui é apenas outra forma de apresentar o conteúdo da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para os dados da prestação selecionada.</t>
    </r>
  </si>
  <si>
    <r>
      <t xml:space="preserve">• A linha deve ter os mesmos valores da tabela </t>
    </r>
    <r>
      <rPr>
        <b/>
        <sz val="11"/>
        <color rgb="FF0070C0"/>
        <rFont val="Calibri"/>
        <family val="2"/>
        <scheme val="minor"/>
      </rPr>
      <t>Tabela 06.</t>
    </r>
  </si>
  <si>
    <t>Análise do período selecionado</t>
  </si>
  <si>
    <t>Valor e taxa anuais juros sobre juros</t>
  </si>
  <si>
    <t>é prova suficiente e irrefutável de que o contrato utiliza capitalização de juros,</t>
  </si>
  <si>
    <t/>
  </si>
  <si>
    <t>A outra lenda urbana</t>
  </si>
  <si>
    <t>• Como os próprios nomes indicam, estes fluxos refletem movimentações de caixa, ou seja, os pagamentos efetivamente realizados ou a realizar pelo mutuário.</t>
  </si>
  <si>
    <t>Duodécuplo mês 01</t>
  </si>
  <si>
    <t>Prestação 15 - meses 01 a 12</t>
  </si>
  <si>
    <t>•  Prestação 15 - meses 01 a 12</t>
  </si>
  <si>
    <t>Prestação 15 - meses 02 a 13</t>
  </si>
  <si>
    <t>• A prestação 12, por ter exatamente 12 meses, facilita a visualização e os cálculos dos valores e taxas anuais.</t>
  </si>
  <si>
    <t>• Vejamos como identificar estes valores e taxas em outros períodos consecutivos de 12 meses.</t>
  </si>
  <si>
    <t xml:space="preserve">• Vamos analisar, por exemplo, os valores anuais e as correspondentes taxas anuais que se aplicam aos 4 períodos consecutivos </t>
  </si>
  <si>
    <t xml:space="preserve">   de 12 meses compreendidos na prestação 15:</t>
  </si>
  <si>
    <t>a) Valor bimestral de juros efetivos</t>
  </si>
  <si>
    <t>b) Valor bimestral de juros nominais</t>
  </si>
  <si>
    <t>c) Valor bimestral de juros sobre juros</t>
  </si>
  <si>
    <t>Valor bimestral de juros sobre juros</t>
  </si>
  <si>
    <t>Taxa bimestral de juros sobre juros</t>
  </si>
  <si>
    <t>4.3) Análise dos valores anuais efetivos e dos valores anuais nominais na prestação 15</t>
  </si>
  <si>
    <t xml:space="preserve">   É o valor de juros da prestação selecionada, distribuído pelos meses que formam a prestação.</t>
  </si>
  <si>
    <t xml:space="preserve">   São juros compostos (efetivos).</t>
  </si>
  <si>
    <t>• Desnecessário detalhamento da análise.</t>
  </si>
  <si>
    <t>Prestação 15 - meses 03 a 14</t>
  </si>
  <si>
    <t>•  Prestação 15 - meses 02 a 13</t>
  </si>
  <si>
    <t>Juros mês 02</t>
  </si>
  <si>
    <t>Duodécuplo mês 02</t>
  </si>
  <si>
    <t>•  Prestação 15 - meses 03 a 14</t>
  </si>
  <si>
    <t>Juros mês 03</t>
  </si>
  <si>
    <t>Duodécuplo mês 03</t>
  </si>
  <si>
    <t>Prestação 15 - meses 04 a 15</t>
  </si>
  <si>
    <t>•  Prestação 15 - meses 04 a 15</t>
  </si>
  <si>
    <t>Juros mês 04</t>
  </si>
  <si>
    <t>Duodécuplo mês 04</t>
  </si>
  <si>
    <t>4.4) Análise dos valores anuais efetivos e dos valores anuais nominais em qualquer período consecutivo de 12 meses</t>
  </si>
  <si>
    <r>
      <t xml:space="preserve">   □ Na </t>
    </r>
    <r>
      <rPr>
        <b/>
        <sz val="11"/>
        <color rgb="FF0070C0"/>
        <rFont val="Calibri"/>
        <family val="2"/>
        <scheme val="minor"/>
      </rPr>
      <t>Tabela 07</t>
    </r>
    <r>
      <rPr>
        <sz val="11"/>
        <color rgb="FF0070C0"/>
        <rFont val="Calibri"/>
        <family val="2"/>
        <scheme val="minor"/>
      </rPr>
      <t xml:space="preserve"> a seguir, copie a última linha e a repita até completar os meses da prestação informada.</t>
    </r>
  </si>
  <si>
    <t xml:space="preserve">e de a taxa anual efetiva ser maior do que o duodécuplo da taxa mensal </t>
  </si>
  <si>
    <t xml:space="preserve">   É, no máximo, apenas prova de que a soma do valor das partes é sempre igual ao valor do todo.</t>
  </si>
  <si>
    <t>Tabela 16 – Tabela de evolução do saldo devedor – formato usualmente empregado pela Tabela Price</t>
  </si>
  <si>
    <t>Tabela 17 – Tabela de evolução do saldo devedor – valores constantes</t>
  </si>
  <si>
    <r>
      <t xml:space="preserve">   Neste contrato, objeto do Recurso Especial, o valor total de juros calculado pela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 xml:space="preserve"> é de:</t>
    </r>
  </si>
  <si>
    <t>Tabela 19 – Tabela de evolução do saldo devedor – conforme pagamento das amortizações</t>
  </si>
  <si>
    <r>
      <t xml:space="preserve">• O que, na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 xml:space="preserve">, </t>
    </r>
    <r>
      <rPr>
        <u/>
        <sz val="11"/>
        <color theme="1"/>
        <rFont val="Calibri"/>
        <family val="2"/>
        <scheme val="minor"/>
      </rPr>
      <t>parece</t>
    </r>
    <r>
      <rPr>
        <sz val="11"/>
        <color theme="1"/>
        <rFont val="Calibri"/>
        <family val="2"/>
        <scheme val="minor"/>
      </rPr>
      <t xml:space="preserve"> ser um cálculo dos juros pagos a cada mês, apenas </t>
    </r>
    <r>
      <rPr>
        <u/>
        <sz val="11"/>
        <color theme="1"/>
        <rFont val="Calibri"/>
        <family val="2"/>
        <scheme val="minor"/>
      </rPr>
      <t>PARECE</t>
    </r>
    <r>
      <rPr>
        <sz val="11"/>
        <color theme="1"/>
        <rFont val="Calibri"/>
        <family val="2"/>
        <scheme val="minor"/>
      </rPr>
      <t>.</t>
    </r>
  </si>
  <si>
    <r>
      <t xml:space="preserve">      □ </t>
    </r>
    <r>
      <rPr>
        <b/>
        <sz val="11"/>
        <color rgb="FF0070C0"/>
        <rFont val="Calibri"/>
        <family val="2"/>
        <scheme val="minor"/>
      </rPr>
      <t>Tabela 16 – Tabela de evolução do saldo devedor – formato usualmente empregado pela Tabela Price</t>
    </r>
  </si>
  <si>
    <r>
      <t xml:space="preserve">      □ </t>
    </r>
    <r>
      <rPr>
        <b/>
        <sz val="11"/>
        <color rgb="FF0070C0"/>
        <rFont val="Calibri"/>
        <family val="2"/>
        <scheme val="minor"/>
      </rPr>
      <t>Tabela 17 – Tabela de evolução do saldo devedor – valores constantes</t>
    </r>
  </si>
  <si>
    <r>
      <t xml:space="preserve">      □ </t>
    </r>
    <r>
      <rPr>
        <b/>
        <sz val="11"/>
        <color rgb="FF0070C0"/>
        <rFont val="Calibri"/>
        <family val="2"/>
        <scheme val="minor"/>
      </rPr>
      <t>Tabela 19 – Tabela de evolução do saldo devedor – conforme pagamento das amortizações</t>
    </r>
  </si>
  <si>
    <r>
      <t xml:space="preserve">      □ </t>
    </r>
    <r>
      <rPr>
        <b/>
        <sz val="11"/>
        <color rgb="FF0070C0"/>
        <rFont val="Calibri"/>
        <family val="2"/>
        <scheme val="minor"/>
      </rPr>
      <t xml:space="preserve">Tabela 20 – Tabela de apropriação contábil da receita de juros - Sistema Price </t>
    </r>
  </si>
  <si>
    <t xml:space="preserve">   A análise do duodécuplo tem que ser feita com base nos valores anuais de cada contrato (concretos), não nas taxas anuais (abstratas).</t>
  </si>
  <si>
    <t>em periodicidade inferior a anual.</t>
  </si>
  <si>
    <t>O simples fato das taxas anuais estarem explicitadas como cláusulas contratuais</t>
  </si>
  <si>
    <t>2.3.2) Tabela 16 - a lógica de distribuição</t>
  </si>
  <si>
    <r>
      <t>R = (P * i) / (1 - (1 / (1 + i)</t>
    </r>
    <r>
      <rPr>
        <vertAlign val="superscript"/>
        <sz val="11"/>
        <rFont val="Calibri"/>
        <family val="2"/>
        <scheme val="minor"/>
      </rPr>
      <t>n</t>
    </r>
  </si>
  <si>
    <t>Fórmula</t>
  </si>
  <si>
    <t>• Como decorrência direta da Fórmula Price de cálculo do valor da prestação temos também o montante e o valor total de juros:</t>
  </si>
  <si>
    <t>• Nosso próximo passo é calcular o valor dos juros e de amortização (principal) contidos em cada prestação.</t>
  </si>
  <si>
    <t>• Nosso próximo passo é identificar a distribuição, mês a mês, do valor de juros de cada prestação.</t>
  </si>
  <si>
    <r>
      <t xml:space="preserve">• 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>, apenas distribuindo o valor de juros de cada prestação entre os meses que a compõem.</t>
    </r>
  </si>
  <si>
    <t>• Como resultado do detalhamento dos juros lineares e dos juros sobre juros em cada prestação,  identificamos agora que os valores básicos</t>
  </si>
  <si>
    <t xml:space="preserve">   do contrato na verdade são:</t>
  </si>
  <si>
    <r>
      <t xml:space="preserve">• 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decompõe, para cada prestação, o valor total de juros de cada mês em suas parcelas de juros lineares (juros nominais) e juros sobre juros.</t>
    </r>
  </si>
  <si>
    <t>• Neste resumo apresentamos apenas as 3 linhas iniciais e a última.</t>
  </si>
  <si>
    <t>• A periodicidade exata é identificada na análise específica de cada contrato.</t>
  </si>
  <si>
    <t>Tabela 11.01 - Valor anual de juros efetivos</t>
  </si>
  <si>
    <t>Tabela 11.02 - Valor anual de juros nominais</t>
  </si>
  <si>
    <t>Tabela 11.03 - Valor anual de juros sobre juros</t>
  </si>
  <si>
    <r>
      <t xml:space="preserve">   - Na </t>
    </r>
    <r>
      <rPr>
        <b/>
        <sz val="11"/>
        <color theme="1"/>
        <rFont val="Calibri"/>
        <family val="2"/>
        <scheme val="minor"/>
      </rPr>
      <t>Tabela 11.02</t>
    </r>
    <r>
      <rPr>
        <sz val="11"/>
        <color theme="1"/>
        <rFont val="Calibri"/>
        <family val="2"/>
        <scheme val="minor"/>
      </rPr>
      <t xml:space="preserve"> o principal de cada mês é constante, repetição do valor presente da prestação, sem capitalização de juros.</t>
    </r>
  </si>
  <si>
    <r>
      <t xml:space="preserve">   - Na </t>
    </r>
    <r>
      <rPr>
        <b/>
        <sz val="11"/>
        <color theme="1"/>
        <rFont val="Calibri"/>
        <family val="2"/>
        <scheme val="minor"/>
      </rPr>
      <t>Tabela 11.01</t>
    </r>
    <r>
      <rPr>
        <sz val="11"/>
        <color theme="1"/>
        <rFont val="Calibri"/>
        <family val="2"/>
        <scheme val="minor"/>
      </rPr>
      <t xml:space="preserve"> o principal aumenta todo mês, resultado da capitalização dos juros incorridos no mês anterior.</t>
    </r>
  </si>
  <si>
    <r>
      <t xml:space="preserve">   - Na Tabela </t>
    </r>
    <r>
      <rPr>
        <b/>
        <sz val="11"/>
        <color theme="1"/>
        <rFont val="Calibri"/>
        <family val="2"/>
        <scheme val="minor"/>
      </rPr>
      <t>11.03</t>
    </r>
    <r>
      <rPr>
        <sz val="11"/>
        <color theme="1"/>
        <rFont val="Calibri"/>
        <family val="2"/>
        <scheme val="minor"/>
      </rPr>
      <t xml:space="preserve"> o principal de cada mês é o valor total de juros lineares mais juros sobre juros incorridos até o mês anterior.</t>
    </r>
  </si>
  <si>
    <t>Tabela 12.01 - Valor anual de juros efetivos</t>
  </si>
  <si>
    <t>Tabela 12.02 - Valor anual de juros nominais</t>
  </si>
  <si>
    <t>Tabela 12.03 - Valor anual de juros sobre juros</t>
  </si>
  <si>
    <t>Tabela 13.01 - Valor anual de juros efetivos</t>
  </si>
  <si>
    <t>Tabela 13.02 - Valor anual de juros nominais</t>
  </si>
  <si>
    <t>Tabela 13.03 - Valor anual de juros sobre juros</t>
  </si>
  <si>
    <t>Tabela 14.01 - Valor anual de juros efetivos</t>
  </si>
  <si>
    <t>Tabela 14.02 - Valor anual de juros nominais</t>
  </si>
  <si>
    <t>Tabela 14.03 - Valor anual de juros sobre juros</t>
  </si>
  <si>
    <r>
      <t xml:space="preserve">• Os valores de cada mês da </t>
    </r>
    <r>
      <rPr>
        <b/>
        <sz val="11"/>
        <color theme="1"/>
        <rFont val="Calibri"/>
        <family val="2"/>
        <scheme val="minor"/>
      </rPr>
      <t>Tabela 20</t>
    </r>
    <r>
      <rPr>
        <sz val="11"/>
        <color theme="1"/>
        <rFont val="Calibri"/>
        <family val="2"/>
        <scheme val="minor"/>
      </rPr>
      <t xml:space="preserve"> são os apurados nas linhas de Total da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>.</t>
    </r>
  </si>
  <si>
    <t>a) Valor de juros compostos</t>
  </si>
  <si>
    <t>b) Valor de juros lineares</t>
  </si>
  <si>
    <t>c) Valor de juros sobre juros</t>
  </si>
  <si>
    <t>• O mutuário paga um total de R$ 21,00 de juros compostos na prestação.</t>
  </si>
  <si>
    <t>• O mutuário paga um total de R$ 20,00 de juros lineares na prestação.</t>
  </si>
  <si>
    <t>• O mutuário paga um total de R$ 1,00 de juros sobre juros na prestação.</t>
  </si>
  <si>
    <t>Os juros acumulados até o mês 01 são:</t>
  </si>
  <si>
    <t>formados por juros lineares dos meses 01 + 02:</t>
  </si>
  <si>
    <t>e por juros sobre juros dos meses 01 (valor zero) + 02:</t>
  </si>
  <si>
    <t>mês 01</t>
  </si>
  <si>
    <t>mês 02</t>
  </si>
  <si>
    <t>duodécuplo do valor dos juros do primeiro mês:</t>
  </si>
  <si>
    <t>Juros acumulados</t>
  </si>
  <si>
    <t>Taxa anual efetiva</t>
  </si>
  <si>
    <t>Resumo dos valores e taxas de juros anuais efetivos nos 4 períodos de 12 meses contínuos da prestação 15</t>
  </si>
  <si>
    <t>Principal mês 1</t>
  </si>
  <si>
    <t>Principal mês 2</t>
  </si>
  <si>
    <t>Principal mês 3</t>
  </si>
  <si>
    <t>Principal mês 4</t>
  </si>
  <si>
    <r>
      <t xml:space="preserve">•  A </t>
    </r>
    <r>
      <rPr>
        <b/>
        <sz val="11"/>
        <color theme="1"/>
        <rFont val="Calibri"/>
        <family val="2"/>
        <scheme val="minor"/>
      </rPr>
      <t>Tabela 15.02</t>
    </r>
    <r>
      <rPr>
        <sz val="11"/>
        <color theme="1"/>
        <rFont val="Calibri"/>
        <family val="2"/>
        <scheme val="minor"/>
      </rPr>
      <t xml:space="preserve"> e a </t>
    </r>
    <r>
      <rPr>
        <b/>
        <sz val="11"/>
        <color theme="1"/>
        <rFont val="Calibri"/>
        <family val="2"/>
        <scheme val="minor"/>
      </rPr>
      <t>Tabela 15.03</t>
    </r>
    <r>
      <rPr>
        <sz val="11"/>
        <color theme="1"/>
        <rFont val="Calibri"/>
        <family val="2"/>
        <scheme val="minor"/>
      </rPr>
      <t xml:space="preserve"> apresentam o desdobramento destes juros compostos em seus componentes de juros nominais + juros sobre juros.</t>
    </r>
  </si>
  <si>
    <t>Tabela 15.01 - Valor anual de juros efetivos</t>
  </si>
  <si>
    <t>Tabela 15.02 - Valor anual de juros nominais</t>
  </si>
  <si>
    <t>Tabela 15.03 - Valor anual de juros sobre juros</t>
  </si>
  <si>
    <t xml:space="preserve">      A capitalização portanto é mensal.</t>
  </si>
  <si>
    <t xml:space="preserve">      A capitalização portanto é trimestral.</t>
  </si>
  <si>
    <r>
      <t xml:space="preserve">• 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 tem, no </t>
    </r>
    <r>
      <rPr>
        <b/>
        <sz val="11"/>
        <color theme="1"/>
        <rFont val="Calibri"/>
        <family val="2"/>
        <scheme val="minor"/>
      </rPr>
      <t>Quadro 1</t>
    </r>
    <r>
      <rPr>
        <sz val="11"/>
        <color theme="1"/>
        <rFont val="Calibri"/>
        <family val="2"/>
        <scheme val="minor"/>
      </rPr>
      <t xml:space="preserve">, o mesmo conteúdo da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>, apenas distribuindo os valores básicos do contrato entre as prestações.</t>
    </r>
  </si>
  <si>
    <r>
      <t xml:space="preserve">• 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demonstra de forma detalhada como são formados o valor de juros lineares e o valor de juros sobre juros mês a mês, </t>
    </r>
  </si>
  <si>
    <t xml:space="preserve">   em cada prestação.</t>
  </si>
  <si>
    <t xml:space="preserve">   É básica para se entender o conceito destes valores.</t>
  </si>
  <si>
    <t xml:space="preserve">   Mas é uma tabela trabalhosa de ser montada, não é prática.</t>
  </si>
  <si>
    <t xml:space="preserve">   Consequentemente também no contrato como um todo.</t>
  </si>
  <si>
    <r>
      <t xml:space="preserve">• O </t>
    </r>
    <r>
      <rPr>
        <b/>
        <sz val="11"/>
        <color theme="1"/>
        <rFont val="Calibri"/>
        <family val="2"/>
        <scheme val="minor"/>
      </rPr>
      <t>Quadro 2</t>
    </r>
    <r>
      <rPr>
        <sz val="11"/>
        <color theme="1"/>
        <rFont val="Calibri"/>
        <family val="2"/>
        <scheme val="minor"/>
      </rPr>
      <t xml:space="preserve">, na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>, tem um cálculo fácil e prático para identificar esses valores em cada prestação.</t>
    </r>
  </si>
  <si>
    <r>
      <t xml:space="preserve">• No </t>
    </r>
    <r>
      <rPr>
        <b/>
        <sz val="11"/>
        <color theme="1"/>
        <rFont val="Calibri"/>
        <family val="2"/>
        <scheme val="minor"/>
      </rPr>
      <t>Quadro 2</t>
    </r>
    <r>
      <rPr>
        <sz val="11"/>
        <color theme="1"/>
        <rFont val="Calibri"/>
        <family val="2"/>
        <scheme val="minor"/>
      </rPr>
      <t xml:space="preserve"> os valores são calculados por fórmulas práticas.</t>
    </r>
  </si>
  <si>
    <t>Taxa mensal</t>
  </si>
  <si>
    <t xml:space="preserve">   □ Os juros lineares são calculados como se não houvesse capitalização de juros.</t>
  </si>
  <si>
    <t xml:space="preserve">   □ Os juros sobre juros são a diferença entre os juros compostos e os juros lineares.</t>
  </si>
  <si>
    <r>
      <t>• Como resultado do detalhamento dos juros lineares e dos juros sobre juros em cada prestação (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Quadro 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), </t>
    </r>
  </si>
  <si>
    <r>
      <t xml:space="preserve">• Com este recurso conseguimos identificar, já na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 e de maneira fácil, os juros lineares e os juros sobre juros de cada prestação.</t>
    </r>
  </si>
  <si>
    <t xml:space="preserve">   E, consequentemente, do contrato como um todo.</t>
  </si>
  <si>
    <t xml:space="preserve">   - Os juros acumulados no primeiro mês do período por óbvio são zero.</t>
  </si>
  <si>
    <r>
      <t xml:space="preserve">• Deixe a </t>
    </r>
    <r>
      <rPr>
        <b/>
        <sz val="11"/>
        <color rgb="FF0070C0"/>
        <rFont val="Calibri"/>
        <family val="2"/>
        <scheme val="minor"/>
      </rPr>
      <t>Tabela 07</t>
    </r>
    <r>
      <rPr>
        <sz val="11"/>
        <color rgb="FF0070C0"/>
        <rFont val="Calibri"/>
        <family val="2"/>
        <scheme val="minor"/>
      </rPr>
      <t xml:space="preserve"> com a quantidade de meses da prestação a ser consultada.</t>
    </r>
  </si>
  <si>
    <t xml:space="preserve">      Ou exclua as linhas em excesso.</t>
  </si>
  <si>
    <r>
      <t xml:space="preserve">      A </t>
    </r>
    <r>
      <rPr>
        <b/>
        <sz val="11"/>
        <color rgb="FF0070C0"/>
        <rFont val="Calibri"/>
        <family val="2"/>
        <scheme val="minor"/>
      </rPr>
      <t>Tabela 07</t>
    </r>
    <r>
      <rPr>
        <sz val="11"/>
        <color rgb="FF0070C0"/>
        <rFont val="Calibri"/>
        <family val="2"/>
        <scheme val="minor"/>
      </rPr>
      <t xml:space="preserve"> deve ficar com a mesma quantidade de meses da prestação selecionada.</t>
    </r>
  </si>
  <si>
    <t xml:space="preserve">   Tanto no contrato objeto do REsp. como em SEU contrato.</t>
  </si>
  <si>
    <r>
      <t xml:space="preserve">   □ No quadro </t>
    </r>
    <r>
      <rPr>
        <b/>
        <sz val="11"/>
        <color rgb="FF0070C0"/>
        <rFont val="Calibri"/>
        <family val="2"/>
        <scheme val="minor"/>
      </rPr>
      <t>Prestação a ser consultada</t>
    </r>
    <r>
      <rPr>
        <sz val="11"/>
        <color rgb="FF0070C0"/>
        <rFont val="Calibri"/>
        <family val="2"/>
        <scheme val="minor"/>
      </rPr>
      <t>, informe qual é a prestação que VOCÊ deseja consultar.</t>
    </r>
  </si>
  <si>
    <r>
      <t xml:space="preserve">• O relatório que sustentou o acórdão aprovado apresenta, na </t>
    </r>
    <r>
      <rPr>
        <b/>
        <sz val="11"/>
        <color theme="1"/>
        <rFont val="Calibri"/>
        <family val="2"/>
        <scheme val="minor"/>
      </rPr>
      <t>Fundamentação Anexa ao Voto do RESP. 973.827 – Tabela Price</t>
    </r>
    <r>
      <rPr>
        <sz val="11"/>
        <color theme="1"/>
        <rFont val="Calibri"/>
        <family val="2"/>
        <scheme val="minor"/>
      </rPr>
      <t xml:space="preserve">, uma tabela </t>
    </r>
  </si>
  <si>
    <r>
      <t xml:space="preserve">• Os valores da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 xml:space="preserve"> são resultado da Fórmula Price de cálculo do valor da prestação, que calcula também o montante </t>
    </r>
  </si>
  <si>
    <r>
      <t xml:space="preserve">• Demonstramos na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 xml:space="preserve"> que os juros de cada prestação são juros compostos, formados por processo de capitalização mensal.</t>
    </r>
  </si>
  <si>
    <r>
      <t xml:space="preserve">• 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apenas identificando, mês a mês, quanto de cada valor de juros compostos é formado por juros lineares e quanto por juros sobre juros.</t>
    </r>
  </si>
  <si>
    <t>Valor anual juros efetivos
meses 1 a 12</t>
  </si>
  <si>
    <t>Valor anual juros efetivos
meses 2 a 13</t>
  </si>
  <si>
    <t>Valor anual juros efetivos
meses 3 a 14</t>
  </si>
  <si>
    <t>Valor anual juros efetivos
meses 4 a 15</t>
  </si>
  <si>
    <t>d) Conclusões</t>
  </si>
  <si>
    <t>d) Conclusão</t>
  </si>
  <si>
    <t xml:space="preserve">   de qualquer prestação que tenha 12 ou mais meses:</t>
  </si>
  <si>
    <r>
      <t xml:space="preserve">• O relatório que sustentou o acórdão aprovado apresenta, na </t>
    </r>
    <r>
      <rPr>
        <b/>
        <sz val="11"/>
        <color theme="1"/>
        <rFont val="Calibri"/>
        <family val="2"/>
        <scheme val="minor"/>
      </rPr>
      <t>Fundamentação Anexa ao Voto do RESP. 973.827 – Tabela Price</t>
    </r>
    <r>
      <rPr>
        <sz val="11"/>
        <color theme="1"/>
        <rFont val="Calibri"/>
        <family val="2"/>
        <scheme val="minor"/>
      </rPr>
      <t xml:space="preserve">, uma tabela </t>
    </r>
  </si>
  <si>
    <r>
      <t xml:space="preserve">• Em seguida são feitos os cálculos da tabela, pelo critério normalmente usado pela Tabela Price, que </t>
    </r>
    <r>
      <rPr>
        <u/>
        <sz val="11"/>
        <color theme="1"/>
        <rFont val="Calibri"/>
        <family val="2"/>
        <scheme val="minor"/>
      </rPr>
      <t>parece</t>
    </r>
    <r>
      <rPr>
        <sz val="11"/>
        <color theme="1"/>
        <rFont val="Calibri"/>
        <family val="2"/>
        <scheme val="minor"/>
      </rPr>
      <t xml:space="preserve"> cálculo de juros (apenas </t>
    </r>
    <r>
      <rPr>
        <u/>
        <sz val="11"/>
        <color theme="1"/>
        <rFont val="Calibri"/>
        <family val="2"/>
        <scheme val="minor"/>
      </rPr>
      <t>PARECE</t>
    </r>
    <r>
      <rPr>
        <sz val="11"/>
        <color theme="1"/>
        <rFont val="Calibri"/>
        <family val="2"/>
        <scheme val="minor"/>
      </rPr>
      <t>).</t>
    </r>
  </si>
  <si>
    <r>
      <t xml:space="preserve">   Por isso estamos apresentando na </t>
    </r>
    <r>
      <rPr>
        <b/>
        <sz val="11"/>
        <color theme="1"/>
        <rFont val="Calibri"/>
        <family val="2"/>
        <scheme val="minor"/>
      </rPr>
      <t>Tabela 19</t>
    </r>
    <r>
      <rPr>
        <sz val="11"/>
        <color theme="1"/>
        <rFont val="Calibri"/>
        <family val="2"/>
        <scheme val="minor"/>
      </rPr>
      <t xml:space="preserve"> os juros compostos desdobrados em suas partes: juros lineares + juros sobre juros.</t>
    </r>
  </si>
  <si>
    <r>
      <t xml:space="preserve">• 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, apenas com o valor de juros de cada prestação distribuído mês a mês e </t>
    </r>
  </si>
  <si>
    <t>• Para efeito de análise do duodécuplo, os valores que nos importam no período de 12 meses consecutivos da prestação 12 são:</t>
  </si>
  <si>
    <t>Período de meses 2 a 13</t>
  </si>
  <si>
    <t>Período de meses 1 a 12</t>
  </si>
  <si>
    <t>Período de meses 3 a 14</t>
  </si>
  <si>
    <t>Período de meses 4 a 15</t>
  </si>
  <si>
    <t>• VOCÊ pode escolher qualquer período consecutivo de 12 meses, em qualquer prestação que tenha 12 ou mais meses.</t>
  </si>
  <si>
    <r>
      <t xml:space="preserve">   publicado no site </t>
    </r>
    <r>
      <rPr>
        <b/>
        <sz val="11"/>
        <rFont val="Calibri"/>
        <family val="2"/>
        <scheme val="minor"/>
      </rPr>
      <t>Os Juros sobre Juros da Tabela Price</t>
    </r>
    <r>
      <rPr>
        <sz val="11"/>
        <rFont val="Calibri"/>
        <family val="2"/>
        <scheme val="minor"/>
      </rPr>
      <t xml:space="preserve">, no link </t>
    </r>
    <r>
      <rPr>
        <i/>
        <sz val="11"/>
        <rFont val="Calibri"/>
        <family val="2"/>
        <scheme val="minor"/>
      </rPr>
      <t/>
    </r>
  </si>
  <si>
    <t>• As planilhas (abas) estão protegidas por senha, apenas para evitar alteração não intencional nas fórmulas e na estrutura.</t>
  </si>
  <si>
    <t>• Para isso reconstituimos, mês a mês, a formação do valor dos juros de cada prestação, desde o primeiro mês até seu mês de vencimento.</t>
  </si>
  <si>
    <t xml:space="preserve">   o Valor que, por óbvio, é maior do que o valor do mês anterior.</t>
  </si>
  <si>
    <t xml:space="preserve">• A primeira coisa que identificamos neste processo é que, em cada prestação, o valor dos juros aumenta a cada mês, decorrente de </t>
  </si>
  <si>
    <t xml:space="preserve">   capitalização dos juros incorridos no mês anterior.</t>
  </si>
  <si>
    <r>
      <t xml:space="preserve">• Na aba </t>
    </r>
    <r>
      <rPr>
        <b/>
        <sz val="11"/>
        <color theme="1"/>
        <rFont val="Calibri"/>
        <family val="2"/>
        <scheme val="minor"/>
      </rPr>
      <t>Evolução saldo devedor</t>
    </r>
    <r>
      <rPr>
        <sz val="11"/>
        <color theme="1"/>
        <rFont val="Calibri"/>
        <family val="2"/>
        <scheme val="minor"/>
      </rPr>
      <t xml:space="preserve"> reproduzimos a tabela inteira, como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 xml:space="preserve">, apenas acrescentando linha de </t>
    </r>
    <r>
      <rPr>
        <b/>
        <sz val="11"/>
        <color theme="1"/>
        <rFont val="Calibri"/>
        <family val="2"/>
        <scheme val="minor"/>
      </rPr>
      <t>Totais.</t>
    </r>
  </si>
  <si>
    <t xml:space="preserve">   o A taxa mensal de juros, aplicada sobre este novo principal (capitalizado), gera o valor de juros do segundo mês.</t>
  </si>
  <si>
    <r>
      <t xml:space="preserve">      Exemplo: se, para SEU contrato, VOCÊ informou prestação 153, a </t>
    </r>
    <r>
      <rPr>
        <b/>
        <sz val="11"/>
        <color rgb="FF0070C0"/>
        <rFont val="Calibri"/>
        <family val="2"/>
        <scheme val="minor"/>
      </rPr>
      <t>Tabela 07</t>
    </r>
    <r>
      <rPr>
        <sz val="11"/>
        <color rgb="FF0070C0"/>
        <rFont val="Calibri"/>
        <family val="2"/>
        <scheme val="minor"/>
      </rPr>
      <t xml:space="preserve"> deve ficar com 153 linhas (os 153 meses da prestação).</t>
    </r>
  </si>
  <si>
    <t>Prazo do contrato</t>
  </si>
  <si>
    <t>Juros mensais</t>
  </si>
  <si>
    <t>Amortização mensal</t>
  </si>
  <si>
    <r>
      <t xml:space="preserve">• Demonstramos que a </t>
    </r>
    <r>
      <rPr>
        <b/>
        <sz val="11"/>
        <color theme="1"/>
        <rFont val="Calibri"/>
        <family val="2"/>
        <scheme val="minor"/>
      </rPr>
      <t>Tabela 19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 xml:space="preserve">, apenas com critério diferente de distribuição dos </t>
    </r>
  </si>
  <si>
    <t>• O que nos interessa, neste momento, é identificar a cada mês o total de juros incorridos por todas as prestações ativas.</t>
  </si>
  <si>
    <t>• Para isso reconstituímos, mês a mês, a formação do valor dos juros de cada prestação, desde o primeiro mês até seu mês de vencimento.</t>
  </si>
  <si>
    <r>
      <t xml:space="preserve">• 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 xml:space="preserve"> é, para cada prestação, a representação clássica de uma operação de capitalização mensal de juros (juros compostos).</t>
    </r>
  </si>
  <si>
    <t xml:space="preserve">   o A diferença a maior é decorrente dos juros sobre os juros acumulados até o mês anterior.</t>
  </si>
  <si>
    <t xml:space="preserve">   Ou, o que é exatamente a mesma coisa, a taxa bimestral de juros nominais estipulada contratualmente é necessariamente igual ao dobro da taxa mensal de juros </t>
  </si>
  <si>
    <t xml:space="preserve">   também estipulada contratualmente.</t>
  </si>
  <si>
    <t xml:space="preserve">   Ou, o que é exatamente a mesma coisa, a taxa bimestral de juros efetivos estipulada contratualmente é necessariamente maior do que o dobro da taxa mensal de juros </t>
  </si>
  <si>
    <t>20% de taxa bimestral contratada de juros nominais  =  (10% de taxa mensal contratada  X  2).</t>
  </si>
  <si>
    <t>21% de taxa bimestral contratada de juros efetivos  &gt;  (10% de taxa mensal contratada  X  2).</t>
  </si>
  <si>
    <t xml:space="preserve">   O valor dos juros em cada prestação é calculado pela tabela de evolução do saldo devedor.</t>
  </si>
  <si>
    <t xml:space="preserve">   Os juros calculados são subtraídos do valor da prestação, resultando no valor de amortização.</t>
  </si>
  <si>
    <t xml:space="preserve">   Isto é prova de que não existe anatocismo (capitalização de juros).</t>
  </si>
  <si>
    <t xml:space="preserve">• E que, à medida que o contrato avança, em cada prestação o mutuário passa a pagar valores proporcionalmente menores de juros </t>
  </si>
  <si>
    <r>
      <t xml:space="preserve">   O critério empregado na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 xml:space="preserve"> é apenas um deles.</t>
    </r>
  </si>
  <si>
    <t xml:space="preserve">   é uma operação de juros simples.</t>
  </si>
  <si>
    <t xml:space="preserve">      obteremos o total de :</t>
  </si>
  <si>
    <t>Relembrando as taxas de juros no contrato (cláusulas contratuais)</t>
  </si>
  <si>
    <t>Antes de prosseguir, cabe um esclarecimento rápido sobre o que são os critérios contábeis “regime de caixa” e “regime de competência”.</t>
  </si>
  <si>
    <t>Ambos são critérios para apropriação contábil de receita e de despesa.</t>
  </si>
  <si>
    <t>• No caso de “regime de caixa” a contabilização da receita ou despesa ocorre no mês em que houve o pagamento.</t>
  </si>
  <si>
    <t xml:space="preserve">   - Exemplo:</t>
  </si>
  <si>
    <t xml:space="preserve">   - A loja fez uma venda de R$ 900,00 no mês 01, para o cliente pagar em 3 vezes iniciando no mês seguinte.</t>
  </si>
  <si>
    <t xml:space="preserve">   - A receita apropriada será de R$ 300,00 no mês 02, R$ 300,00 no mês 03 e R$ 300,00 no mês 04.</t>
  </si>
  <si>
    <t xml:space="preserve">   - No mesmo exemplo da loja que fez venda de R$ 900,00 no mês 01, para o cliente pagar em 3 vezes:</t>
  </si>
  <si>
    <t xml:space="preserve">   - Será contabilizada receita de R$ 900,00 no próprio mês 01, a incorrência é no mês da emissão da nota fiscal.</t>
  </si>
  <si>
    <t xml:space="preserve">   - Independente de os pagamentos serem feitos apenas nos 3 meses seguintes.</t>
  </si>
  <si>
    <t xml:space="preserve">   - Os tributos serão recolhidos considerando faturamento de R$ 900,00 no mês 01.</t>
  </si>
  <si>
    <r>
      <t xml:space="preserve">• Sua base são os valores da </t>
    </r>
    <r>
      <rPr>
        <b/>
        <sz val="11"/>
        <color theme="1"/>
        <rFont val="Calibri"/>
        <family val="2"/>
        <scheme val="minor"/>
      </rPr>
      <t>Tabela 06 - Quadro 1</t>
    </r>
    <r>
      <rPr>
        <sz val="11"/>
        <color theme="1"/>
        <rFont val="Calibri"/>
        <family val="2"/>
        <scheme val="minor"/>
      </rPr>
      <t>.</t>
    </r>
  </si>
  <si>
    <r>
      <t xml:space="preserve">• Além disso, os juros pagos a cada mês são juros compostos, formados por juros lineares + juros sobre juros, identificados na </t>
    </r>
    <r>
      <rPr>
        <b/>
        <sz val="11"/>
        <color theme="1"/>
        <rFont val="Calibri"/>
        <family val="2"/>
        <scheme val="minor"/>
      </rPr>
      <t>Tabela 06 - Quadro 2</t>
    </r>
    <r>
      <rPr>
        <sz val="11"/>
        <color theme="1"/>
        <rFont val="Calibri"/>
        <family val="2"/>
        <scheme val="minor"/>
      </rPr>
      <t>.</t>
    </r>
  </si>
  <si>
    <t>• Assim, a proporção de juros aumenta exponencialmente até a última prestação.</t>
  </si>
  <si>
    <t>• Provocando movimento inverso na amortização.</t>
  </si>
  <si>
    <r>
      <t xml:space="preserve">• A </t>
    </r>
    <r>
      <rPr>
        <b/>
        <sz val="11"/>
        <color theme="1"/>
        <rFont val="Calibri"/>
        <family val="2"/>
        <scheme val="minor"/>
      </rPr>
      <t>Tabela 19</t>
    </r>
    <r>
      <rPr>
        <sz val="11"/>
        <color theme="1"/>
        <rFont val="Calibri"/>
        <family val="2"/>
        <scheme val="minor"/>
      </rPr>
      <t xml:space="preserve"> reflete a evolução do saldo devedor de acordo com os valores de amortização efetivamente pagos pelo mutuário</t>
    </r>
  </si>
  <si>
    <t>Distribuição pelo critério de fluxo de caixa</t>
  </si>
  <si>
    <t>As taxas de juros contratuais</t>
  </si>
  <si>
    <t>O duodécuplo</t>
  </si>
  <si>
    <t>• O valor bimestral de juros sobre juros (isto é, o valor dos juros sobre juros incorridos no período de 2 meses) é de R$ 1,00.</t>
  </si>
  <si>
    <t xml:space="preserve">       - Os juros do mês (compostos) são a soma dos juros lineares com os juros sobre juros.</t>
  </si>
  <si>
    <t xml:space="preserve">• Vemos então que, como resultado do processo de capitalização mensal dos juros, o mutuário paga, no contrato objeto do Recurso Especial, </t>
  </si>
  <si>
    <t xml:space="preserve">   juros sobre juros no valor de:</t>
  </si>
  <si>
    <t>• O valor anual de juros efetivos dividido pelo principal do período resulta na taxa anual de juros efetivos.</t>
  </si>
  <si>
    <t>• O valor anual de juros nominais dividido pelo principal do período resulta na taxa anual de juros nominais.</t>
  </si>
  <si>
    <t>• O valor dos juros no primeiro mês do período dividido pelo principal do período resulta na taxa mensal de juros.</t>
  </si>
  <si>
    <t xml:space="preserve">   - Por óbvio o valor total de juros efetivos é maior do que o duodécuplo do valor de juros no primeiro mês do período.</t>
  </si>
  <si>
    <t xml:space="preserve">   - Por óbvio o valor total de juros nominais é igual ao duodécuplo do valor de juros no primeiro mês do período.</t>
  </si>
  <si>
    <r>
      <t xml:space="preserve">• Apresentamos abaixo 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com os dados apenas da prestação 15 e num formato mais adequado para a análise.</t>
    </r>
  </si>
  <si>
    <r>
      <t xml:space="preserve">• Encontramos, em cada um destes períodos anuais, </t>
    </r>
    <r>
      <rPr>
        <u/>
        <sz val="11"/>
        <color theme="1"/>
        <rFont val="Calibri"/>
        <family val="2"/>
        <scheme val="minor"/>
      </rPr>
      <t>valor anual de juros efetivos</t>
    </r>
    <r>
      <rPr>
        <sz val="11"/>
        <color theme="1"/>
        <rFont val="Calibri"/>
        <family val="2"/>
        <scheme val="minor"/>
      </rPr>
      <t xml:space="preserve"> correspondente à </t>
    </r>
    <r>
      <rPr>
        <u/>
        <sz val="11"/>
        <color theme="1"/>
        <rFont val="Calibri"/>
        <family val="2"/>
        <scheme val="minor"/>
      </rPr>
      <t>taxa anual de juros efetivos</t>
    </r>
    <r>
      <rPr>
        <sz val="11"/>
        <color theme="1"/>
        <rFont val="Calibri"/>
        <family val="2"/>
        <scheme val="minor"/>
      </rPr>
      <t xml:space="preserve"> estipulada contratualmente.</t>
    </r>
  </si>
  <si>
    <t>4.3.1) Resumo dos valores de juros anuais efetivos na prestação 15</t>
  </si>
  <si>
    <t>4.3.2) Dados da prestação 15 - meses 01 a 12</t>
  </si>
  <si>
    <r>
      <t xml:space="preserve">•  A Tabela </t>
    </r>
    <r>
      <rPr>
        <b/>
        <sz val="11"/>
        <color theme="1"/>
        <rFont val="Calibri"/>
        <family val="2"/>
        <scheme val="minor"/>
      </rPr>
      <t>11.01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mas fazendo o "corte" apenas dos meses 01 a 12 da prestação 15.</t>
    </r>
  </si>
  <si>
    <t>4.3.3) Dados da prestação 15 - meses 02 a 13</t>
  </si>
  <si>
    <r>
      <t xml:space="preserve">•  A Tabela </t>
    </r>
    <r>
      <rPr>
        <b/>
        <sz val="11"/>
        <color theme="1"/>
        <rFont val="Calibri"/>
        <family val="2"/>
        <scheme val="minor"/>
      </rPr>
      <t>12.01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mas fazendo o "corte" apenas dos meses 02 a 13 da prestação 15.</t>
    </r>
  </si>
  <si>
    <t>4.3.4) Dados da prestação 15 - meses 03 a 14</t>
  </si>
  <si>
    <r>
      <t xml:space="preserve">•  A Tabela </t>
    </r>
    <r>
      <rPr>
        <b/>
        <sz val="11"/>
        <color theme="1"/>
        <rFont val="Calibri"/>
        <family val="2"/>
        <scheme val="minor"/>
      </rPr>
      <t>13.01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mas fazendo o "corte" apenas dos meses 03 a 14 da prestação 15.</t>
    </r>
  </si>
  <si>
    <t>4.3.5) Dados da prestação 15 - meses 04 a 15</t>
  </si>
  <si>
    <r>
      <t xml:space="preserve">•  A Tabela </t>
    </r>
    <r>
      <rPr>
        <b/>
        <sz val="11"/>
        <color theme="1"/>
        <rFont val="Calibri"/>
        <family val="2"/>
        <scheme val="minor"/>
      </rPr>
      <t>14.01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mas fazendo o "corte" apenas dos meses 04 a 15 da prestação 15.</t>
    </r>
  </si>
  <si>
    <r>
      <t xml:space="preserve">•  A Tabela </t>
    </r>
    <r>
      <rPr>
        <b/>
        <sz val="11"/>
        <color theme="1"/>
        <rFont val="Calibri"/>
        <family val="2"/>
        <scheme val="minor"/>
      </rPr>
      <t>15.01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mas fazendo o "corte" apenas dos meses selecionados.</t>
    </r>
  </si>
  <si>
    <t xml:space="preserve">   São identificadas em qualquer período de 12 meses contínuos, em qualquer prestação que tenha 12 ou mais meses.</t>
  </si>
  <si>
    <t>• No caso específico do contrato objeto do Recurso Especial,  a identificação de periodicidade mensal já consegue ser feita</t>
  </si>
  <si>
    <r>
      <t xml:space="preserve">   em qualquer prestação na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 xml:space="preserve">, a partir da prestação 02: </t>
    </r>
  </si>
  <si>
    <t>• A premissa é que os juros compostos são formados por duas partes: juros lineares + juros sobre juros.</t>
  </si>
  <si>
    <t>A quitação do financiamento.</t>
  </si>
  <si>
    <t xml:space="preserve">   subparcela de amortização, com o valor total do financiamento sendo quitado junto com o pagamento da última prestação.</t>
  </si>
  <si>
    <t xml:space="preserve">   sistema de amortização que calcula prestações de valor constante, cada prestação composta por subparcela de juros e </t>
  </si>
  <si>
    <t>• Estas características não são nem nunca foram específicas da Tabela Price.</t>
  </si>
  <si>
    <t xml:space="preserve">    - São características de qualquer sistema de financiamento que use prestações de valor constante, formadas por parcela de </t>
  </si>
  <si>
    <t xml:space="preserve">    - Da mesma forma, cada prestação é formada por uma parcela de juros + uma parcela de amortização.</t>
  </si>
  <si>
    <t xml:space="preserve">   Apresentam como prova o fato da tabela de evolução do saldo devedor zerar no final do prazo.</t>
  </si>
  <si>
    <t>• Para o contrato como um todo temos então:</t>
  </si>
  <si>
    <t>Total juros</t>
  </si>
  <si>
    <t>Nosso objetivo é demonstrar que os juros compostos são formados por duas partes:
           juros lineares + juros sobre juros.</t>
  </si>
  <si>
    <t>O que fizemos foi apenas desdobrar o valor dos juros compostos em suas duas partes:
          os juros compostos de R$ 21,00 são formados por
          R$ 20,00 de juros lineares + R$ 1,00 de juros sobre juros.</t>
  </si>
  <si>
    <t>Nosso objetivo é demonstrar que os juros efetivos são formados por duas partes:
                         juros nominais + juros sobre juros.</t>
  </si>
  <si>
    <t>• Ver exemplo na prestação 12:</t>
  </si>
  <si>
    <t>• De forma resumida apresentamos os “cortes” de seus 4 períodos “móveis” de 12 meses consecutivos.</t>
  </si>
  <si>
    <r>
      <t xml:space="preserve">•  As </t>
    </r>
    <r>
      <rPr>
        <b/>
        <sz val="11"/>
        <color theme="1"/>
        <rFont val="Calibri"/>
        <family val="2"/>
        <scheme val="minor"/>
      </rPr>
      <t>Tabelas 11.02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Tabela 11.03</t>
    </r>
    <r>
      <rPr>
        <sz val="11"/>
        <color theme="1"/>
        <rFont val="Calibri"/>
        <family val="2"/>
        <scheme val="minor"/>
      </rPr>
      <t xml:space="preserve"> apresentam o desdobramento destes juros compostos em seus componentes de juros nominais + juros sobre juros.</t>
    </r>
  </si>
  <si>
    <r>
      <t xml:space="preserve">•  As </t>
    </r>
    <r>
      <rPr>
        <b/>
        <sz val="11"/>
        <color theme="1"/>
        <rFont val="Calibri"/>
        <family val="2"/>
        <scheme val="minor"/>
      </rPr>
      <t>Tabela 12.02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Tabela 12.03</t>
    </r>
    <r>
      <rPr>
        <sz val="11"/>
        <color theme="1"/>
        <rFont val="Calibri"/>
        <family val="2"/>
        <scheme val="minor"/>
      </rPr>
      <t xml:space="preserve"> apresentam o desdobramento destes juros compostos em seus componentes de juros nominais + juros sobre juros.</t>
    </r>
  </si>
  <si>
    <r>
      <t xml:space="preserve">•  As </t>
    </r>
    <r>
      <rPr>
        <b/>
        <sz val="11"/>
        <color theme="1"/>
        <rFont val="Calibri"/>
        <family val="2"/>
        <scheme val="minor"/>
      </rPr>
      <t>Tabelas 13.02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Tabela 13.03</t>
    </r>
    <r>
      <rPr>
        <sz val="11"/>
        <color theme="1"/>
        <rFont val="Calibri"/>
        <family val="2"/>
        <scheme val="minor"/>
      </rPr>
      <t xml:space="preserve"> apresentam o desdobramento destes juros compostos em seus componentes de juros nominais + juros sobre juros.</t>
    </r>
  </si>
  <si>
    <r>
      <t xml:space="preserve">•  As </t>
    </r>
    <r>
      <rPr>
        <b/>
        <sz val="11"/>
        <color theme="1"/>
        <rFont val="Calibri"/>
        <family val="2"/>
        <scheme val="minor"/>
      </rPr>
      <t>Tabelas 14.02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Tabela 14.03</t>
    </r>
    <r>
      <rPr>
        <sz val="11"/>
        <color theme="1"/>
        <rFont val="Calibri"/>
        <family val="2"/>
        <scheme val="minor"/>
      </rPr>
      <t xml:space="preserve"> apresentam o desdobramento destes juros compostos em seus componentes de juros nominais + juros sobre juros.</t>
    </r>
  </si>
  <si>
    <t xml:space="preserve">   - meses 04 a 15.</t>
  </si>
  <si>
    <t>• Da mesma forma que o argumento anterior, a prova apresentada também não é prova de nada.</t>
  </si>
  <si>
    <r>
      <t xml:space="preserve">• E na </t>
    </r>
    <r>
      <rPr>
        <b/>
        <sz val="11"/>
        <color theme="1"/>
        <rFont val="Calibri"/>
        <family val="2"/>
        <scheme val="minor"/>
      </rPr>
      <t>Tabela 17</t>
    </r>
    <r>
      <rPr>
        <sz val="11"/>
        <color theme="1"/>
        <rFont val="Calibri"/>
        <family val="2"/>
        <scheme val="minor"/>
      </rPr>
      <t xml:space="preserve">, da mesma forma que na </t>
    </r>
    <r>
      <rPr>
        <b/>
        <sz val="11"/>
        <color theme="1"/>
        <rFont val="Calibri"/>
        <family val="2"/>
        <scheme val="minor"/>
      </rPr>
      <t>Tabela 16:</t>
    </r>
  </si>
  <si>
    <t xml:space="preserve">   - Os tributos serão recolhidos considerando os faturamentos em cada um destes meses.</t>
  </si>
  <si>
    <t xml:space="preserve">   o São juros compostos, portanto formados por</t>
  </si>
  <si>
    <t xml:space="preserve">      juros lineares + juros sobre juros</t>
  </si>
  <si>
    <t>São apenas juros lineares, não tem juros sobre juros
(por ser primeiro mês)</t>
  </si>
  <si>
    <t>São juros compostos, portanto formados por juros lineares + juros sobre juros</t>
  </si>
  <si>
    <r>
      <t xml:space="preserve">2.3.3) Processo de formação dos juros </t>
    </r>
    <r>
      <rPr>
        <b/>
        <sz val="15"/>
        <color rgb="FFFF0000"/>
        <rFont val="Calibri"/>
        <family val="2"/>
        <scheme val="minor"/>
      </rPr>
      <t>INCONSISTENTE</t>
    </r>
    <r>
      <rPr>
        <b/>
        <sz val="15"/>
        <color theme="1"/>
        <rFont val="Calibri"/>
        <family val="2"/>
        <scheme val="minor"/>
      </rPr>
      <t xml:space="preserve"> com processo de pagamento dos juros</t>
    </r>
  </si>
  <si>
    <t xml:space="preserve">                              </t>
  </si>
  <si>
    <t xml:space="preserve">                          </t>
  </si>
  <si>
    <r>
      <t xml:space="preserve">Tabela 18 – Processo de formação dos juros </t>
    </r>
    <r>
      <rPr>
        <b/>
        <sz val="12"/>
        <color rgb="FFFF0000"/>
        <rFont val="Calibri"/>
        <family val="2"/>
        <scheme val="minor"/>
      </rPr>
      <t>INCONSISTENTE</t>
    </r>
    <r>
      <rPr>
        <b/>
        <sz val="12"/>
        <color theme="1"/>
        <rFont val="Calibri"/>
        <family val="2"/>
        <scheme val="minor"/>
      </rPr>
      <t xml:space="preserve"> com processo de pagamento dos juros</t>
    </r>
  </si>
  <si>
    <t xml:space="preserve">   Em todas o valor dos juros no segundo mês é maior do que o valor no primeiro mês.</t>
  </si>
  <si>
    <t>Para se analisar as taxas e valores de juros anuais é só expandir o período analisado de 2 meses para 12 meses consecutivos e trocar "bimestral" para "anual".
E, evidentemente, trocar "dobro" para "duodécuplo".</t>
  </si>
  <si>
    <r>
      <t xml:space="preserve">• Confira se a linha de </t>
    </r>
    <r>
      <rPr>
        <b/>
        <sz val="11"/>
        <color rgb="FF0070C0"/>
        <rFont val="Calibri"/>
        <family val="2"/>
        <scheme val="minor"/>
      </rPr>
      <t>Total</t>
    </r>
    <r>
      <rPr>
        <sz val="11"/>
        <color rgb="FF0070C0"/>
        <rFont val="Calibri"/>
        <family val="2"/>
        <scheme val="minor"/>
      </rPr>
      <t xml:space="preserve"> está correta.</t>
    </r>
  </si>
  <si>
    <t xml:space="preserve">   o A diferença a maior é decorrente dos juros sobre os juros do primeiro mês.</t>
  </si>
  <si>
    <t xml:space="preserve">       - Os juros sobre juros são resultado da aplicação da taxa mensal sobre os juros do primeiro mês.</t>
  </si>
  <si>
    <t>Parcela (qtde meses)</t>
  </si>
  <si>
    <t>2.1.6) Os valores básicos do contrato, detalhados por juros lineares e juros sobre juros</t>
  </si>
  <si>
    <t>2.1.4) Identificar a distribuição, mês a mês, do valor de juros de cada prestação</t>
  </si>
  <si>
    <t>2.1.5) Os juros lineares e os juros sobre juros em cada mês da prestação</t>
  </si>
  <si>
    <r>
      <t xml:space="preserve">   O valor de juros (coluna </t>
    </r>
    <r>
      <rPr>
        <b/>
        <sz val="11"/>
        <color theme="1"/>
        <rFont val="Calibri"/>
        <family val="2"/>
        <scheme val="minor"/>
      </rPr>
      <t>Juros do Mês</t>
    </r>
    <r>
      <rPr>
        <sz val="11"/>
        <color theme="1"/>
        <rFont val="Calibri"/>
        <family val="2"/>
        <scheme val="minor"/>
      </rPr>
      <t xml:space="preserve">) apresentado para cada mês na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tem o mesmo valor apresentado na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.</t>
    </r>
  </si>
  <si>
    <t xml:space="preserve">   Selecionando as informações apenas da prestação 12 temos:</t>
  </si>
  <si>
    <t>2.2.1) Análise do valor anual efetivo e do valor anual nominal na prestação 12 do contrato</t>
  </si>
  <si>
    <t>2.1.2) Calcular o montante e o valor total de juros</t>
  </si>
  <si>
    <r>
      <t xml:space="preserve">   Como são juros compostos, na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são apresentados também os juros lineares e os juros sobre juros que o formam.</t>
    </r>
  </si>
  <si>
    <t>2.2) Duodécuplo - O valor anual de juros efetivos e o valor anual de juros nominais</t>
  </si>
  <si>
    <r>
      <t xml:space="preserve">Sugerimos de maneira enfática que VOCÊ inicie a leitura por esta aba, </t>
    </r>
    <r>
      <rPr>
        <b/>
        <sz val="13"/>
        <color theme="1"/>
        <rFont val="Calibri"/>
        <family val="2"/>
        <scheme val="minor"/>
      </rPr>
      <t>Resumo da análise</t>
    </r>
    <r>
      <rPr>
        <sz val="13"/>
        <color theme="1"/>
        <rFont val="Calibri"/>
        <family val="2"/>
        <scheme val="minor"/>
      </rPr>
      <t xml:space="preserve">.
Facilita muito para depois acompanhar a análise detalhada nas abas </t>
    </r>
    <r>
      <rPr>
        <b/>
        <sz val="13"/>
        <color theme="1"/>
        <rFont val="Calibri"/>
        <family val="2"/>
        <scheme val="minor"/>
      </rPr>
      <t>Os juros sobre juros</t>
    </r>
    <r>
      <rPr>
        <sz val="13"/>
        <color theme="1"/>
        <rFont val="Calibri"/>
        <family val="2"/>
        <scheme val="minor"/>
      </rPr>
      <t xml:space="preserve">, </t>
    </r>
    <r>
      <rPr>
        <b/>
        <sz val="13"/>
        <color theme="1"/>
        <rFont val="Calibri"/>
        <family val="2"/>
        <scheme val="minor"/>
      </rPr>
      <t>O duodécuplo</t>
    </r>
    <r>
      <rPr>
        <sz val="13"/>
        <color theme="1"/>
        <rFont val="Calibri"/>
        <family val="2"/>
        <scheme val="minor"/>
      </rPr>
      <t xml:space="preserve"> e </t>
    </r>
    <r>
      <rPr>
        <b/>
        <sz val="13"/>
        <color theme="1"/>
        <rFont val="Calibri"/>
        <family val="2"/>
        <scheme val="minor"/>
      </rPr>
      <t>Evolução saldo devedor</t>
    </r>
    <r>
      <rPr>
        <sz val="13"/>
        <color theme="1"/>
        <rFont val="Calibri"/>
        <family val="2"/>
        <scheme val="minor"/>
      </rPr>
      <t>.</t>
    </r>
  </si>
  <si>
    <t>3.2) As cláusulas do contrato</t>
  </si>
  <si>
    <t xml:space="preserve">• O fluxo de caixa descontado, como também indicado pelo próprio nome, consiste em "descontar" o valor dos juros que estão incorporados em </t>
  </si>
  <si>
    <t>Total (JL + JJ)</t>
  </si>
  <si>
    <t xml:space="preserve">       - Não tem juros sobre juros porque não tem juros acumulados até o mês anterior.</t>
  </si>
  <si>
    <t xml:space="preserve">       - Os juros lineares são os juros do mês .</t>
  </si>
  <si>
    <t xml:space="preserve">   - Se o valor dos juros no segundo mês for maior do que o dos juros no primeiro mês, é prova de que houve capitalização dos juros do primeiro mês.</t>
  </si>
  <si>
    <t xml:space="preserve">   - Se o valor dos juros aumentar apenas no quarto mês é prova de que a primeira capitalização foi dos juros dos três primeiros meses.</t>
  </si>
  <si>
    <t xml:space="preserve">   - E assim por diante: bimestral, quadrimestral, semestral, etc.</t>
  </si>
  <si>
    <r>
      <t xml:space="preserve">• Na prática, para o caso específico do contrato em análise, já havíamos identificado periodicidade mensal quando construímos 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:</t>
    </r>
  </si>
  <si>
    <t xml:space="preserve">   O valor dos juros no mês 02 é maior do que o valor no mês 01.</t>
  </si>
  <si>
    <t>Principal mês 02</t>
  </si>
  <si>
    <t>Principal mês 01</t>
  </si>
  <si>
    <t>juros mês 01</t>
  </si>
  <si>
    <t>juros lineares</t>
  </si>
  <si>
    <t>juros sobre juros</t>
  </si>
  <si>
    <t>juros compostos</t>
  </si>
  <si>
    <t xml:space="preserve">   A diferença a maior no valor dos juros do mês 02 é resultado da capitalização dos juros do mês 01.</t>
  </si>
  <si>
    <t xml:space="preserve">   O principal do mês 02 é resultado da soma do principal do mês 01 com os juros do mês 01 (capitalização).</t>
  </si>
  <si>
    <t xml:space="preserve">   - Em todas as prestações, a partir da 2, o valor dos juros no segundo mês é maior do que o valor no primeiro mês.</t>
  </si>
  <si>
    <r>
      <t xml:space="preserve">   Vejamos na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>, na prestação 2:</t>
    </r>
  </si>
  <si>
    <r>
      <t xml:space="preserve">• Uma forma rigorosa de identificar a periodicidade é analisar, na </t>
    </r>
    <r>
      <rPr>
        <b/>
        <sz val="11"/>
        <color theme="1"/>
        <rFont val="Calibri"/>
        <family val="2"/>
        <scheme val="minor"/>
      </rPr>
      <t>Tabela 07</t>
    </r>
    <r>
      <rPr>
        <sz val="11"/>
        <color theme="1"/>
        <rFont val="Calibri"/>
        <family val="2"/>
        <scheme val="minor"/>
      </rPr>
      <t xml:space="preserve">, a evolução do valor dos juros nos primeiros 12 meses </t>
    </r>
  </si>
  <si>
    <r>
      <t xml:space="preserve">• Os valores </t>
    </r>
    <r>
      <rPr>
        <b/>
        <sz val="11"/>
        <color theme="1"/>
        <rFont val="Calibri"/>
        <family val="2"/>
        <scheme val="minor"/>
      </rPr>
      <t>ANTES e DEPOIS</t>
    </r>
    <r>
      <rPr>
        <sz val="11"/>
        <color theme="1"/>
        <rFont val="Calibri"/>
        <family val="2"/>
        <scheme val="minor"/>
      </rPr>
      <t xml:space="preserve"> da </t>
    </r>
    <r>
      <rPr>
        <b/>
        <sz val="11"/>
        <color theme="1"/>
        <rFont val="Calibri"/>
        <family val="2"/>
        <scheme val="minor"/>
      </rPr>
      <t>Tabela 17</t>
    </r>
    <r>
      <rPr>
        <sz val="11"/>
        <color theme="1"/>
        <rFont val="Calibri"/>
        <family val="2"/>
        <scheme val="minor"/>
      </rPr>
      <t xml:space="preserve">  são os mesmos da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>.</t>
    </r>
  </si>
  <si>
    <t xml:space="preserve">   - Utilizando a Fórmula Price, temos que para este contrato o valor total de juros é de:</t>
  </si>
  <si>
    <t xml:space="preserve">   - Os juros calculados a cada mês são pagos no próprio mês, não incorporando para o mês seguinte.</t>
  </si>
  <si>
    <t xml:space="preserve">   - Na tabela apresentada no relatório que fundamenta o acórdão do Recurso, se somarmos a coluna de juros</t>
  </si>
  <si>
    <t>5.2) Tabela 16 - A lógica de distribuição de juros</t>
  </si>
  <si>
    <t>5.3) Tabela 17 - distribuição por valores constantes</t>
  </si>
  <si>
    <r>
      <t xml:space="preserve">5.4) Processo de formação dos juros </t>
    </r>
    <r>
      <rPr>
        <b/>
        <sz val="16"/>
        <color rgb="FFFF0000"/>
        <rFont val="Calibri"/>
        <family val="2"/>
        <scheme val="minor"/>
      </rPr>
      <t>INCONSISTENTE</t>
    </r>
    <r>
      <rPr>
        <b/>
        <sz val="16"/>
        <color theme="1"/>
        <rFont val="Calibri"/>
        <family val="2"/>
        <scheme val="minor"/>
      </rPr>
      <t xml:space="preserve"> com processo de pagamento dos juros</t>
    </r>
  </si>
  <si>
    <t>5.5) Evolução do saldo devedor conforme pagamento das amortizações</t>
  </si>
  <si>
    <t>5.5.1) Os conceitos de regime de caixa e regime de competência</t>
  </si>
  <si>
    <t>5.5.2) Relembrando o fluxo de caixa projetado e o fluxo de caixa descontado do contrato</t>
  </si>
  <si>
    <t>5.5.3) Tabela 19 - amortização pelos valores efetivamente pagos pelo mutuário</t>
  </si>
  <si>
    <t>5.6) A apropriação contábil da receita de juros por regime de competência</t>
  </si>
  <si>
    <t>5.6.1) Relembrando a identificação mês a mês dos juros lineares + juros sobre juros</t>
  </si>
  <si>
    <t>5.6.2) Tabela 20 - Apropriação contábil da receita de juros</t>
  </si>
  <si>
    <t xml:space="preserve">   - Os relatórios de resultados financeiros também considerarão faturamento de R$ 900,00 no mês 01.</t>
  </si>
  <si>
    <t>Exatamente o inverso do que diz a lenda urbana.</t>
  </si>
  <si>
    <t xml:space="preserve">• A questão em análise no Recurso Especial 973.827 – RS é se a simples enunciação das taxas anuais efetiva e nominal </t>
  </si>
  <si>
    <t xml:space="preserve">   como cláusulas contratuais atende ou não à exigência de que a capitalização de juros em periodicidade inferior à anual</t>
  </si>
  <si>
    <t xml:space="preserve">   deve vir pactuada de forma expressa e clara.</t>
  </si>
  <si>
    <t>• Como resultado deste trabalho temos as seguintes conclusões:</t>
  </si>
  <si>
    <t xml:space="preserve">   a) O simples fato de a taxa anual efetiva e a taxa anual nominal estarem explicitadas como cláusulas contratuais </t>
  </si>
  <si>
    <t xml:space="preserve">   b) Análise de duodécuplo de taxas anuais de juros, porém, não é assunto de fácil entendimento por consumidores </t>
  </si>
  <si>
    <t xml:space="preserve">        e a taxa anual efetiva ser maior do que o duodécuplo da taxa mensal pactuada é prova suficiente e irrefutável </t>
  </si>
  <si>
    <t xml:space="preserve">        de que o contrato utiliza capitalização de juros, com periodicidade inferior a anual.</t>
  </si>
  <si>
    <t xml:space="preserve">        que tem conhecimento apenas básico de matemática financeira.</t>
  </si>
  <si>
    <t xml:space="preserve">        - O mutuário tem direito de saber quanto está pagando de juros sobre juros no contrato como um todo.</t>
  </si>
  <si>
    <t xml:space="preserve">        - Por isso a forma expressa e clara de informar ao mutuário que o contrato que ele está assinando tem capitalização </t>
  </si>
  <si>
    <t xml:space="preserve">          mensal de juros é, no mínimo, informar no contrato seus valores básicos, com o valor de juros compostos </t>
  </si>
  <si>
    <t xml:space="preserve">          desdobrado no valor de juros lineares e no valor de juros sobre juros que o compõe.</t>
  </si>
  <si>
    <t xml:space="preserve">• Em princípio o que deve ser apresentado ao mutuário, junto com o contrato ou quando exigido, é a evolução </t>
  </si>
  <si>
    <t xml:space="preserve">   do saldo devedor, de acordo com os valores de amortização efetivamente pagos.</t>
  </si>
  <si>
    <t>• A apropriação contábil da receita de juros é, a rigor, assunto interno da instituição financeira.</t>
  </si>
  <si>
    <t xml:space="preserve">• Independente de qual tabela deve ser apresentada ao mutuário, ou se ambas, de qualquer maneira o valor </t>
  </si>
  <si>
    <t xml:space="preserve">   dos juros compostos deve ser apresentado com seu desdobramento em valor de juros lineares e em juros sobre juros.</t>
  </si>
  <si>
    <t xml:space="preserve">• É uma questão de transparência para o mutuário, que tem direito de saber quanto está pagando de juros sobre juros </t>
  </si>
  <si>
    <t xml:space="preserve">   em cada mês ou em cada prestação.</t>
  </si>
  <si>
    <t>• Fluxo de caixa descontado é o método universalmente utilizado para identificar valor dos juros incorporados em qualquer valor futuro.</t>
  </si>
  <si>
    <t xml:space="preserve">   - Entre várias outras aplicações, é uma ferramenta para avaliação de rentabilidade (ROI) de diferentes opções de investimento, cada opção </t>
  </si>
  <si>
    <t xml:space="preserve">     com diferentes valores de aplicação e de retorno, bem como diferentes fluxos de desembolsos e de recebimentos.</t>
  </si>
  <si>
    <t xml:space="preserve">   - Todos os valores futuros, a desembolsar ou a receber, são trazidos a valor presente, uniformizando assim a condição de análise.</t>
  </si>
  <si>
    <t xml:space="preserve">• A Lei 6.404, de 15.12.1976, com redação dada pela Lei 11.638, de 28.12.2007, em seus artigos 183 e 184 determina às companhias abertas, </t>
  </si>
  <si>
    <t xml:space="preserve">        Art. 183. No balanço, os elementos do ativo serão avaliados segundo os seguintes critérios:</t>
  </si>
  <si>
    <t xml:space="preserve">                       VIII – os elementos do ativo decorrentes de operações de longo prazo serão ajustados a valor presente, sendo os demais ajustados </t>
  </si>
  <si>
    <t xml:space="preserve">                                quando houver efeito relevante.</t>
  </si>
  <si>
    <t xml:space="preserve">        Art. 184. No balanço, os elementos do passivo serão avaliados de acordo com os seguintes critérios:</t>
  </si>
  <si>
    <t xml:space="preserve">                       III – as obrigações, os encargos e os riscos classificados no passivo não circulante serão ajustados ao seu valor presente,  sendo os demais ajustados</t>
  </si>
  <si>
    <t xml:space="preserve">   bem como às companhias fechadas de grande porte, que os valores de longo prazo sejam trazidos a valor presente:</t>
  </si>
  <si>
    <t>• A Lei 4.380 de 21.08.1964, em seu Art. 15-B, § 1, conforme redação dada pela Lei 11.977, de 07.07.2009, determina que:</t>
  </si>
  <si>
    <t xml:space="preserve">        Art. 15-B</t>
  </si>
  <si>
    <t xml:space="preserve">                        deve ser calculado com a utilização da taxa de juros pactuada no contrato, não podendo resultar em valor diferente ao do empréstimo ou do financiamento concedido.</t>
  </si>
  <si>
    <t xml:space="preserve">                 § 1º O valor presente do fluxo futuro das prestações, compostas de amortização do principal e juros, geradas pelas operações de que trata o caput, </t>
  </si>
  <si>
    <t>Fundamento</t>
  </si>
  <si>
    <t xml:space="preserve">      Garantindo assim consistência entre os valores futuros (valor da prestação e montante do contrato) e os valores presentes (principal de cada prestação e valor financiado).</t>
  </si>
  <si>
    <t>• Equivalência entre a fórmula de cálculo do valor da prestação e a fórmula de cálculo do valor presente.</t>
  </si>
  <si>
    <t xml:space="preserve">   - Uma análise muito interessante e original (e óbvia, depois que a conhecemos) é apresentada na sentença proferida pelo Juiz Federal Flávio Antônio da Cruz </t>
  </si>
  <si>
    <t xml:space="preserve">      em 24.08.2004 nos Autos nº 2000.70.00.023505-4 e nº 2001.70.00.001481-9, que tramitaram na Vara Federal do Sistema Financeiro da Habitação, em Curitiba – PR.</t>
  </si>
  <si>
    <t xml:space="preserve">   - Utilizando um exemplo regido por TP, com principal (valor financiado) de R$ 445,18, juros mensais de 4% e prazo de 5 meses, com prestação de R$ 100,00, </t>
  </si>
  <si>
    <t xml:space="preserve">     o Autor demonstra que:</t>
  </si>
  <si>
    <t xml:space="preserve">        □ a Fórmula Price, que parte do principal de R$ 445,18 para chegar à prestação de R$ 100,00,</t>
  </si>
  <si>
    <t xml:space="preserve">            é exatamente igual</t>
  </si>
  <si>
    <t xml:space="preserve">        □ à fórmula que parte de cada prestação de R$ 100,00 para chegar a seu valor presente (principal), com a soma do principal das prestações totalizando R$ 445,18.</t>
  </si>
  <si>
    <t xml:space="preserve">   - As fórmulas apenas trocam a ordem dos fatores.</t>
  </si>
  <si>
    <t xml:space="preserve">   - A demonstração apresentada na sentença é uma robusta fundamentação matemática para a determinação expressa no Art. 15-B, § 1º da Lei 11.977. </t>
  </si>
  <si>
    <t xml:space="preserve">        a) Cálculo do valor da prestação (valor futuro), feito a partir do valor financiado com base na taxa de juros pactuada, com o somatório das prestações </t>
  </si>
  <si>
    <t xml:space="preserve">             resultando no montante do contrato.     </t>
  </si>
  <si>
    <t xml:space="preserve">        b) Cálculo do valor presente (principal) da prestação, feito a partir do valor de cada prestação com base na taxa de juros pactuada, com o somatório </t>
  </si>
  <si>
    <t xml:space="preserve">             dos valores presentes resultando no valor financiado.</t>
  </si>
  <si>
    <t xml:space="preserve">   - atribuiu-lhe, indevidamente, a condição de ser uma operação de cálculo de juros;</t>
  </si>
  <si>
    <t xml:space="preserve">• A lenda urbana, em sua ânsia de buscar “prova” da inexistência de anatocismo na Tabela Price, distorceu o significado do que </t>
  </si>
  <si>
    <t xml:space="preserve">   geralmente é conhecida como tabela de evolução do saldo devedor:</t>
  </si>
  <si>
    <t xml:space="preserve">   - atribuiu-lhe, também indevidamente, a condição de ser um registro dos valores de juros e de amortização efetivamente pagos </t>
  </si>
  <si>
    <t xml:space="preserve">     pelo mutuário (fluxo financeiro).</t>
  </si>
  <si>
    <t>• Na verdade temos dois controles diferentes:</t>
  </si>
  <si>
    <t xml:space="preserve">   - Apropriação contábil da receita de juros por regime de competência;</t>
  </si>
  <si>
    <t>• Não se trata de erro deste ou daquele controle.</t>
  </si>
  <si>
    <t xml:space="preserve">   - Trata-se de controles diferentes, que tem cada um objetivo próprio, com evolução diferente dos valores de juros e de amortização.</t>
  </si>
  <si>
    <t>Apropriação contábil da receita de juros</t>
  </si>
  <si>
    <t xml:space="preserve">• A instituição financeira começa apropriando contabilmente uma receita de juros maior, pelo fato de inicialmente estar apropriando </t>
  </si>
  <si>
    <t>• E assim sucessivamente até o último mês do contrato.</t>
  </si>
  <si>
    <t xml:space="preserve">• É uma receita que vai diminuindo com o avanço do prazo, pelo fato de estar progressivamente incidindo sobre uma quantidade menor </t>
  </si>
  <si>
    <t xml:space="preserve">   de prestações ativas.</t>
  </si>
  <si>
    <t>• Em decorrência a amortização contabilizada segue caminho inverso, com valores menores no início e proporcionalmente maiores no final.</t>
  </si>
  <si>
    <t>• É este o conteúdo da tabela atualmente conhecida, de modo errôneo, como “tabela de evolução do saldo devedor”.</t>
  </si>
  <si>
    <t xml:space="preserve">   - Seu nome correto deveria ser “tabela de apropriação contábil da receita de juros”.</t>
  </si>
  <si>
    <r>
      <t xml:space="preserve">• Seus valores são obtidos na linha de Total da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>, onde são informados os totais de juros incorridos pelo contrato a cada mês.</t>
    </r>
  </si>
  <si>
    <t>Evolução do saldo devedor pelo valor de amortização efetivamente pago pelo mutuário</t>
  </si>
  <si>
    <t>• O fluxo de caixa projetado e o fluxo de caixa descontado refletem os valores efetivamente pagos pelo mutuário (fluxo financeiro).</t>
  </si>
  <si>
    <t>• Indicam que o mutuário começa pagando valor de juros menor, pelo fato das prestações iniciais terem menor prazo:</t>
  </si>
  <si>
    <t>• À medida que o prazo avança, em cada prestação o mutuário paga valor de juros progressivamente maior, por ser calculado sobre um prazo cada vez maior.</t>
  </si>
  <si>
    <t>• Consequentemente, nas prestações iniciais o mutuário paga valor maior de amortização e menor de juros, situação que vai se invertendo à medida que as prestações avançam no prazo.</t>
  </si>
  <si>
    <t>• É uma tabela que hoje não é apresentada ao mutuário, mas, se o objetivo é apresentar a evolução do saldo de acordo com os valores efetivamente pagos, é a que deveria ser apresentada.</t>
  </si>
  <si>
    <r>
      <t xml:space="preserve">• Seus valores são obtidos na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>, com base nos valores de cada prestação.</t>
    </r>
  </si>
  <si>
    <t>Evolução do saldo devedor e apropriação contábil da receita de juros</t>
  </si>
  <si>
    <t xml:space="preserve">   a) Evolução do saldo devedor pelo valor de amortização efetivamente pago pelo mutuário</t>
  </si>
  <si>
    <t xml:space="preserve">   b) Apropriação contábil da receita de juros</t>
  </si>
  <si>
    <t>5.7) Resumo da diferença entre amortização de saldo devedor e apropriação contábil da receita de juros</t>
  </si>
  <si>
    <t>Sumário:</t>
  </si>
  <si>
    <t>2.2.2) Conclusões sobre taxas anuais e duodécuplo</t>
  </si>
  <si>
    <t xml:space="preserve">    - Independente da fórmula utilizada para cálculo do valor da prestação e independente de usar juros simples ou juros compostos.</t>
  </si>
  <si>
    <t>2.4) Conclusões sobre a análise do Recurso</t>
  </si>
  <si>
    <t>4.5) Conclusões sobre taxas anuais e duodécuplo</t>
  </si>
  <si>
    <t>3.3.1) Confira se o valor da prestação está correto</t>
  </si>
  <si>
    <t>3.3.2) Confira se as taxas anuais estão corretas</t>
  </si>
  <si>
    <t>3.4) Complete as tabelas abaixo com as prestações de SEU contrato</t>
  </si>
  <si>
    <t>• Copie a linha da parcela 36 até alcançar o número de parcelas de SEU contrato nas seguintes tabelas:</t>
  </si>
  <si>
    <t>• Nas 2 tabelas abaixo é muito trabalhoso fazer o ajuste completo para o SEU contrato.</t>
  </si>
  <si>
    <r>
      <t xml:space="preserve">• Quinto passo: Para uma análise rápida, confira os resultados na aba </t>
    </r>
    <r>
      <rPr>
        <b/>
        <sz val="11"/>
        <color rgb="FF0070C0"/>
        <rFont val="Calibri"/>
        <family val="2"/>
        <scheme val="minor"/>
      </rPr>
      <t>Resumo da análise</t>
    </r>
    <r>
      <rPr>
        <sz val="11"/>
        <color rgb="FF0070C0"/>
        <rFont val="Calibri"/>
        <family val="2"/>
        <scheme val="minor"/>
      </rPr>
      <t>.</t>
    </r>
  </si>
  <si>
    <t>3.5) Calcular o montante e o valor total de juros</t>
  </si>
  <si>
    <t>3.6) O valor dos juros e de amortização em cada prestação</t>
  </si>
  <si>
    <t>3.7) Fundamentação do cálculo do Valor Presente</t>
  </si>
  <si>
    <t>3.8) Identificar a distribuição, mês a mês, do valor de juros de cada prestação</t>
  </si>
  <si>
    <t>3.9) Os conceitos de valor de juros compostos, valor de juros lineares e valor de juros sobre juros</t>
  </si>
  <si>
    <t>3.10) Os juros lineares e os juros sobre juros em cada mês da prestação</t>
  </si>
  <si>
    <t>3.11) Fórmula prática de calcular os juros lineares e os juros sobre juros</t>
  </si>
  <si>
    <t>3.12) Os valores básicos do contrato, detalhados por juros lineares e juros sobre juros</t>
  </si>
  <si>
    <t xml:space="preserve">• Entre alguns Autores que sustentam que não existe anatocismo na Tabela Price, encontramos o argumento de que TP é o </t>
  </si>
  <si>
    <t xml:space="preserve">   único sistema de amortização que calcula prestações de valor constante, cada prestação composta por subparcela de juros e </t>
  </si>
  <si>
    <t xml:space="preserve">• Entre alguns Autores que sustentam que não existe anatocismo na Tabela Price encontramos o argumento de que TP é o único </t>
  </si>
  <si>
    <t xml:space="preserve">   São os valores que a instituição financeira tem a receber, distribuídos por seus meses de vencimento.</t>
  </si>
  <si>
    <t>• Fluxo de caixa projetado é o lançamento do valor de cada prestação (valor futuro) em seu mês de vencimento.</t>
  </si>
  <si>
    <t xml:space="preserve">   O somatório do valor presente de todas as prestações constitui o valor do empréstimo (principal do contrato).</t>
  </si>
  <si>
    <t>• Não é um critério utilizado para fins contábeis porque regime de caixa não é critério aceito universalmente para efeito contábil.</t>
  </si>
  <si>
    <t xml:space="preserve">• No caso de “regime de competência” as receitas e despesas são contabilizadas no período em que incorreram, independente </t>
  </si>
  <si>
    <t>de ter havido ou não pagamento.</t>
  </si>
  <si>
    <t xml:space="preserve">   de ter havido ou não pagamento.</t>
  </si>
  <si>
    <t>• Os resultados finais de ambas são exatamente iguais, os valores ANTES e DEPOIS também são os mesmos.</t>
  </si>
  <si>
    <t>• É o critério adequado para refletir a movimentação financeira (o fluxo de caixa), os valores efetivamente pagos pelo mutuário.</t>
  </si>
  <si>
    <t>Distribuição pelo critério de regime de competência</t>
  </si>
  <si>
    <t>Tabela 20 – Tabela de apropriação contábil da receita de juros</t>
  </si>
  <si>
    <r>
      <t xml:space="preserve">• A Tabela </t>
    </r>
    <r>
      <rPr>
        <b/>
        <sz val="11"/>
        <color theme="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 xml:space="preserve"> tem, a cada mês, exatamente os mesmos valores da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 xml:space="preserve">, apenas com os juros compostos distribuídos </t>
    </r>
  </si>
  <si>
    <t xml:space="preserve">   em juros lineares + juros sobre juros.</t>
  </si>
  <si>
    <r>
      <t xml:space="preserve">• Demonstramos que a </t>
    </r>
    <r>
      <rPr>
        <b/>
        <sz val="11"/>
        <color theme="1"/>
        <rFont val="Calibri"/>
        <family val="2"/>
        <scheme val="minor"/>
      </rPr>
      <t>Tabela 20</t>
    </r>
    <r>
      <rPr>
        <sz val="11"/>
        <color theme="1"/>
        <rFont val="Calibri"/>
        <family val="2"/>
        <scheme val="minor"/>
      </rPr>
      <t xml:space="preserve"> tem o mesmo conteúdo da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 xml:space="preserve">, ambas tem o mesmo critério de distribuição dos </t>
    </r>
  </si>
  <si>
    <t>• Fluxo de caixa descontado são os valores de cada prestação (valor futuro) trazidos a seus valores no mês zero (valor presente).</t>
  </si>
  <si>
    <t xml:space="preserve">   Cada prestação é formada por um valor de juros e um valor de amortização do principal.</t>
  </si>
  <si>
    <t xml:space="preserve">   O que o cálculo faz é "descontar" o valor de juros presente em cada prestação, deixando apenas o valor de amortização.</t>
  </si>
  <si>
    <t>• Prestação 1</t>
  </si>
  <si>
    <t>• Prestação 2</t>
  </si>
  <si>
    <t>Foi pago apenas o valor de juros da prestação 1.</t>
  </si>
  <si>
    <t>Foi pago apenas o valor de juros da prestação 2.</t>
  </si>
  <si>
    <r>
      <t xml:space="preserve">• O nome da tabela foi alterado de </t>
    </r>
    <r>
      <rPr>
        <b/>
        <sz val="11"/>
        <color theme="1"/>
        <rFont val="Calibri"/>
        <family val="2"/>
        <scheme val="minor"/>
      </rPr>
      <t>Tabela de evolução do saldo devedor</t>
    </r>
    <r>
      <rPr>
        <sz val="11"/>
        <color theme="1"/>
        <rFont val="Calibri"/>
        <family val="2"/>
        <scheme val="minor"/>
      </rPr>
      <t xml:space="preserve"> para </t>
    </r>
    <r>
      <rPr>
        <b/>
        <sz val="11"/>
        <color theme="1"/>
        <rFont val="Calibri"/>
        <family val="2"/>
        <scheme val="minor"/>
      </rPr>
      <t>Tabela de apropriação contábil da receita de juros</t>
    </r>
    <r>
      <rPr>
        <sz val="11"/>
        <color theme="1"/>
        <rFont val="Calibri"/>
        <family val="2"/>
        <scheme val="minor"/>
      </rPr>
      <t xml:space="preserve">, </t>
    </r>
  </si>
  <si>
    <t xml:space="preserve">   que reflete seu verdadeiro conteúdo.</t>
  </si>
  <si>
    <t xml:space="preserve">        - Mesmo para consumidores que tenham conhecimento intermediário, a operação de dividir a taxa anual efetiva por 12 e</t>
  </si>
  <si>
    <t xml:space="preserve">          encontrar resultado maior do que a taxa mensal é uma coisa abstrata, desprovida de significado concreto.</t>
  </si>
  <si>
    <t xml:space="preserve">   - Apenas com a ressalva dos juros compostos serem demonstrados com suas parcelas de juros lineares e juros sobre juros.</t>
  </si>
  <si>
    <t xml:space="preserve">   - É na verdade apenas um facilitador, para calcular os juros incorridos a cada mês por todas as prestações ainda ativas, </t>
  </si>
  <si>
    <t xml:space="preserve">   - Ou seja, operação típica de apropriação mensal de receita de juros por regime de competência.</t>
  </si>
  <si>
    <t>Tabela 08.03 - Valor de juros sobre juros (calculando de forma separada a capitalização em si)</t>
  </si>
  <si>
    <t xml:space="preserve">   - Evolução do saldo devedor com base nos valores de amortização efetivamente pagos pelo mutuário (fluxo financeiro).</t>
  </si>
  <si>
    <t xml:space="preserve">   Na prestação 1 o mutuário paga juros sobre 1 mês.</t>
  </si>
  <si>
    <t xml:space="preserve">   Na prestação 2 o mutuário paga juros (compostos) sobre 2 meses.</t>
  </si>
  <si>
    <t>3.6) O valor dos juros e da amortização em cada prestação</t>
  </si>
  <si>
    <t>2.1.3) O valor dos juros e da amortização em cada parcela</t>
  </si>
  <si>
    <r>
      <t xml:space="preserve">   Não tem lógica de </t>
    </r>
    <r>
      <rPr>
        <u/>
        <sz val="11"/>
        <color theme="1"/>
        <rFont val="Calibri"/>
        <family val="2"/>
        <scheme val="minor"/>
      </rPr>
      <t>cálculo de juros</t>
    </r>
    <r>
      <rPr>
        <sz val="11"/>
        <color theme="1"/>
        <rFont val="Calibri"/>
        <family val="2"/>
        <scheme val="minor"/>
      </rPr>
      <t>.</t>
    </r>
  </si>
  <si>
    <r>
      <t xml:space="preserve">• Vejamos a </t>
    </r>
    <r>
      <rPr>
        <b/>
        <sz val="11"/>
        <color theme="1"/>
        <rFont val="Calibri"/>
        <family val="2"/>
        <scheme val="minor"/>
      </rPr>
      <t>Tabela 17</t>
    </r>
    <r>
      <rPr>
        <sz val="11"/>
        <color theme="1"/>
        <rFont val="Calibri"/>
        <family val="2"/>
        <scheme val="minor"/>
      </rPr>
      <t>, que utiliza como critério de distribuição valores constantes todo mês.</t>
    </r>
  </si>
  <si>
    <t>Prestação mensal</t>
  </si>
  <si>
    <r>
      <t xml:space="preserve">• E os resultados da </t>
    </r>
    <r>
      <rPr>
        <b/>
        <sz val="11"/>
        <color theme="1"/>
        <rFont val="Calibri"/>
        <family val="2"/>
        <scheme val="minor"/>
      </rPr>
      <t>Tabela 17</t>
    </r>
    <r>
      <rPr>
        <sz val="11"/>
        <color theme="1"/>
        <rFont val="Calibri"/>
        <family val="2"/>
        <scheme val="minor"/>
      </rPr>
      <t xml:space="preserve"> são exatamente os mesmos da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>.</t>
    </r>
  </si>
  <si>
    <t xml:space="preserve">• É um critério que, embora matematicamente correto, não é aceito para fins contábeis porque </t>
  </si>
  <si>
    <t xml:space="preserve">   não leva em conta o custo do dinheiro no tempo.</t>
  </si>
  <si>
    <t>• Os valores constantes são lançados a cada mês.</t>
  </si>
  <si>
    <t>2.3.3) Processo de formação dos juros INCONSISTENTE com processo de pagamento dos juros</t>
  </si>
  <si>
    <t>5.4) Processo de formação dos juros INCONSISTENTE com processo de pagamento dos juros</t>
  </si>
  <si>
    <r>
      <t>Tabela 05</t>
    </r>
    <r>
      <rPr>
        <sz val="11"/>
        <rFont val="Calibri"/>
        <family val="2"/>
        <scheme val="minor"/>
      </rPr>
      <t xml:space="preserve"> - Valor total juros</t>
    </r>
  </si>
  <si>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 xml:space="preserve"> - Valor total de juros (linha de totais)</t>
    </r>
  </si>
  <si>
    <t xml:space="preserve">   Apenas distribuem o valor total de juros previamente calculado.</t>
  </si>
  <si>
    <t xml:space="preserve">   - Quanto VOCÊ está pagando de juros sobre juros a cada período de 12 meses consecutivos em cada prestação </t>
  </si>
  <si>
    <t xml:space="preserve">     que tenha 12 ou mais meses, provocando assim que a taxa anual efetiva seja maior do que o duodécuplo da taxa mensal.</t>
  </si>
  <si>
    <t>1.2) Análise de SEU contrato</t>
  </si>
  <si>
    <t xml:space="preserve">• Chega a ser curioso, com necessidade de eventual estudo sociológico para identificar a origem destas lendas e como conseguiram </t>
  </si>
  <si>
    <t xml:space="preserve">• Chega a ser curioso, com necessidade de eventual estudo sociológico para identificar a origem destas lendas </t>
  </si>
  <si>
    <t xml:space="preserve">   e como conseguiram sobreviver sem ter qualquer base real.</t>
  </si>
  <si>
    <t xml:space="preserve">• E que, à medida em que o contrato avança, em cada prestação o mutuário passa a pagar valores proporcionalmente </t>
  </si>
  <si>
    <t xml:space="preserve">   menores de juros e maiores de amortização.</t>
  </si>
  <si>
    <r>
      <t xml:space="preserve">• Reproduzimos abaixo a tabela inteira, como </t>
    </r>
    <r>
      <rPr>
        <b/>
        <sz val="11"/>
        <color theme="1"/>
        <rFont val="Calibri"/>
        <family val="2"/>
        <scheme val="minor"/>
      </rPr>
      <t>Tabela 16</t>
    </r>
    <r>
      <rPr>
        <sz val="11"/>
        <color theme="1"/>
        <rFont val="Calibri"/>
        <family val="2"/>
        <scheme val="minor"/>
      </rPr>
      <t xml:space="preserve">, apenas acrescentando linha de </t>
    </r>
    <r>
      <rPr>
        <b/>
        <sz val="11"/>
        <color theme="1"/>
        <rFont val="Calibri"/>
        <family val="2"/>
        <scheme val="minor"/>
      </rPr>
      <t>Totais</t>
    </r>
    <r>
      <rPr>
        <sz val="11"/>
        <color theme="1"/>
        <rFont val="Calibri"/>
        <family val="2"/>
        <scheme val="minor"/>
      </rPr>
      <t>.</t>
    </r>
  </si>
  <si>
    <t>• Quarto passo: Complete as tabelas indicadas a seguir com o total de parcelas de SEU contrato.</t>
  </si>
  <si>
    <t>3.3) Confira se as alterações de cláusulas contratuais foram feitas corretamente</t>
  </si>
  <si>
    <t>• Se seu objetivo é substituir os dados originais pelos de SEU contrato siga as orientações abaixo, no texto em azul.</t>
  </si>
  <si>
    <t xml:space="preserve">• Existem várias outras formas de demonstrar que a tabela de evolução do saldo devedor, no formato </t>
  </si>
  <si>
    <r>
      <t xml:space="preserve">   utilizado para Tabela Price, tem lógica apenas de </t>
    </r>
    <r>
      <rPr>
        <u/>
        <sz val="11"/>
        <color theme="1"/>
        <rFont val="Calibri"/>
        <family val="2"/>
        <scheme val="minor"/>
      </rPr>
      <t>distribuição</t>
    </r>
    <r>
      <rPr>
        <sz val="11"/>
        <color theme="1"/>
        <rFont val="Calibri"/>
        <family val="2"/>
        <scheme val="minor"/>
      </rPr>
      <t xml:space="preserve"> de valores previamente calculados.</t>
    </r>
  </si>
  <si>
    <t xml:space="preserve">• Os valores básicos do contrato (montante, valor total de juros e principal) são divididos pelo prazo, </t>
  </si>
  <si>
    <t xml:space="preserve">   gerando valores mensais constantes.</t>
  </si>
  <si>
    <t xml:space="preserve">   - Os relatórios de resultados financeiros também considerarão faturamento em cada um destes meses.</t>
  </si>
  <si>
    <t xml:space="preserve">   No Brasil a Receita Federal autoriza o regime de caixa, como opcional, apenas para empresas optantes pelo Simples Nacional ou pelo Lucro Presumido.</t>
  </si>
  <si>
    <t>Fórmula de cálculo do Valor Presente:</t>
  </si>
  <si>
    <r>
      <t>VP = R / (1 + i)</t>
    </r>
    <r>
      <rPr>
        <vertAlign val="superscript"/>
        <sz val="11"/>
        <color theme="1"/>
        <rFont val="Calibri"/>
        <family val="2"/>
        <scheme val="minor"/>
      </rPr>
      <t>n</t>
    </r>
  </si>
  <si>
    <t xml:space="preserve">     O fundamento desta determinação é que as duas operações, cálculo do valor da prestação e cálculo do valor presente, devem ser consistentes entre si:</t>
  </si>
  <si>
    <r>
      <t xml:space="preserve">   </t>
    </r>
    <r>
      <rPr>
        <sz val="13"/>
        <color theme="1"/>
        <rFont val="Calibri"/>
        <family val="2"/>
        <scheme val="minor"/>
      </rPr>
      <t>em qualquer mês o valor dos juros é menor do que o valor da prestação</t>
    </r>
  </si>
  <si>
    <t xml:space="preserve">   O que só por completo absurdo pode ser entendido como </t>
  </si>
  <si>
    <t>prova de inexistência de anatocismo.</t>
  </si>
  <si>
    <t>O contrato como "réu confesso"</t>
  </si>
  <si>
    <t xml:space="preserve">• Mesmo que SEU contrato não tenha estas taxas anuais como cláusulas contratuais explícitas, a simples apuração delas por perito contábil e a constatação </t>
  </si>
  <si>
    <t xml:space="preserve">   de que a taxa anual efetiva é maior do que o duodécuplo da taxa mensal (ou, o que é a mesma coisa, que é maior do que a taxa anual nominal) são prova irrefutável de </t>
  </si>
  <si>
    <t xml:space="preserve">   que neste contrato o mutuário paga juros sobre juros.</t>
  </si>
  <si>
    <t>• Se, além disso, o contrato tiver estas taxas como cláusulas contratuais explícitas e a taxa anual efetiva for maior do que a taxa anual nominal (ou seja, maior do que o</t>
  </si>
  <si>
    <t xml:space="preserve">   duodécuplo da taxa mensal) isto por si só torna o contrato uma espécie de "réu confesso": o contrato "confessa" que o mutuário está pagando juros sobre juros.</t>
  </si>
  <si>
    <t>A periodicidade exata</t>
  </si>
  <si>
    <t>Atualizado em 23.09.2022</t>
  </si>
  <si>
    <t xml:space="preserve">   adv.angelomarcelogasperini@gmail.com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</si>
</sst>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-416]\ #,##0.00"/>
    <numFmt numFmtId="165" formatCode="0.0000%"/>
    <numFmt numFmtId="166" formatCode="[$R$-416]\ #,##0.0000"/>
  </numFmts>
  <fonts count="4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5"/>
      <color rgb="FF0070C0"/>
      <name val="Calibri"/>
      <family val="2"/>
      <scheme val="minor"/>
    </font>
    <font>
      <vertAlign val="superscript"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3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thin">
        <color theme="0" tint="-0.499984740745262"/>
      </top>
      <bottom style="medium">
        <color rgb="FF0070C0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medium">
        <color rgb="FF0070C0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medium">
        <color rgb="FF0070C0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0070C0"/>
      </bottom>
      <diagonal/>
    </border>
    <border>
      <left/>
      <right/>
      <top style="thin">
        <color theme="0" tint="-0.34998626667073579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theme="0" tint="-0.34998626667073579"/>
      </right>
      <top/>
      <bottom style="medium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0070C0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rgb="FF0070C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rgb="FF0070C0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8">
    <xf numFmtId="0" fontId="0" fillId="0" borderId="0"/>
    <xf numFmtId="0" fontId="27" fillId="0" borderId="0" applyNumberFormat="0" applyFill="0" applyProtection="0">
      <alignment horizontal="left" vertical="center"/>
    </xf>
    <xf numFmtId="0" fontId="2" fillId="0" borderId="0" applyNumberFormat="0" applyFill="0" applyProtection="0">
      <alignment horizontal="left" vertical="center"/>
    </xf>
    <xf numFmtId="0" fontId="26" fillId="0" borderId="0" applyNumberFormat="0" applyFill="0" applyProtection="0">
      <alignment horizontal="left" vertical="center"/>
    </xf>
    <xf numFmtId="0" fontId="34" fillId="0" borderId="0" applyNumberFormat="0" applyFill="0" applyBorder="0">
      <alignment horizontal="left" vertical="center"/>
    </xf>
    <xf numFmtId="0" fontId="35" fillId="0" borderId="0">
      <alignment horizontal="left" vertical="center"/>
    </xf>
    <xf numFmtId="0" fontId="40" fillId="0" borderId="0">
      <alignment horizontal="left" vertical="center"/>
    </xf>
    <xf numFmtId="0" fontId="44" fillId="0" borderId="0" applyNumberFormat="0" applyFill="0" applyBorder="0" applyAlignment="0" applyProtection="0"/>
  </cellStyleXfs>
  <cellXfs count="685">
    <xf numFmtId="0" fontId="0" fillId="0" borderId="0" xfId="0"/>
    <xf numFmtId="0" fontId="4" fillId="0" borderId="0" xfId="0" applyFont="1"/>
    <xf numFmtId="0" fontId="0" fillId="0" borderId="0" xfId="0" applyBorder="1"/>
    <xf numFmtId="166" fontId="0" fillId="0" borderId="0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Protection="1"/>
    <xf numFmtId="166" fontId="0" fillId="0" borderId="1" xfId="0" applyNumberFormat="1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166" fontId="0" fillId="0" borderId="0" xfId="0" applyNumberFormat="1" applyProtection="1"/>
    <xf numFmtId="0" fontId="4" fillId="0" borderId="8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0" fillId="0" borderId="0" xfId="0" applyAlignment="1" applyProtection="1">
      <alignment horizontal="left" indent="2"/>
    </xf>
    <xf numFmtId="0" fontId="0" fillId="0" borderId="0" xfId="0" applyBorder="1" applyProtection="1"/>
    <xf numFmtId="0" fontId="0" fillId="0" borderId="0" xfId="0" applyBorder="1" applyAlignment="1" applyProtection="1"/>
    <xf numFmtId="10" fontId="0" fillId="0" borderId="0" xfId="0" applyNumberForma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/>
    </xf>
    <xf numFmtId="166" fontId="0" fillId="0" borderId="0" xfId="0" applyNumberForma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left" vertical="center"/>
    </xf>
    <xf numFmtId="164" fontId="12" fillId="0" borderId="0" xfId="0" applyNumberFormat="1" applyFont="1" applyBorder="1" applyAlignment="1">
      <alignment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indent="2"/>
    </xf>
    <xf numFmtId="0" fontId="0" fillId="0" borderId="0" xfId="0" applyAlignment="1" applyProtection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26" xfId="0" applyBorder="1" applyAlignment="1" applyProtection="1">
      <alignment horizontal="left" vertical="center"/>
    </xf>
    <xf numFmtId="0" fontId="0" fillId="0" borderId="27" xfId="0" applyBorder="1" applyAlignment="1" applyProtection="1">
      <alignment vertical="center"/>
    </xf>
    <xf numFmtId="0" fontId="22" fillId="0" borderId="26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/>
    </xf>
    <xf numFmtId="0" fontId="23" fillId="0" borderId="31" xfId="0" applyFont="1" applyFill="1" applyBorder="1" applyAlignment="1" applyProtection="1">
      <alignment horizontal="center" vertical="center" wrapText="1"/>
    </xf>
    <xf numFmtId="0" fontId="0" fillId="0" borderId="27" xfId="0" applyBorder="1"/>
    <xf numFmtId="0" fontId="0" fillId="0" borderId="27" xfId="0" applyBorder="1" applyAlignment="1">
      <alignment vertical="center"/>
    </xf>
    <xf numFmtId="0" fontId="0" fillId="0" borderId="28" xfId="0" applyBorder="1"/>
    <xf numFmtId="0" fontId="0" fillId="0" borderId="36" xfId="0" applyBorder="1"/>
    <xf numFmtId="0" fontId="22" fillId="0" borderId="0" xfId="0" applyFont="1" applyBorder="1" applyAlignment="1">
      <alignment vertical="center"/>
    </xf>
    <xf numFmtId="0" fontId="23" fillId="0" borderId="30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164" fontId="22" fillId="0" borderId="29" xfId="0" applyNumberFormat="1" applyFont="1" applyBorder="1" applyAlignment="1">
      <alignment horizontal="center"/>
    </xf>
    <xf numFmtId="164" fontId="22" fillId="0" borderId="32" xfId="0" applyNumberFormat="1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right" indent="1"/>
    </xf>
    <xf numFmtId="0" fontId="23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1" fontId="0" fillId="3" borderId="1" xfId="0" applyNumberFormat="1" applyFill="1" applyBorder="1" applyAlignment="1">
      <alignment horizontal="center"/>
    </xf>
    <xf numFmtId="0" fontId="0" fillId="0" borderId="0" xfId="0" applyFont="1" applyProtection="1"/>
    <xf numFmtId="0" fontId="2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/>
    <xf numFmtId="0" fontId="2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2" fillId="0" borderId="2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1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right" vertical="center"/>
    </xf>
    <xf numFmtId="0" fontId="0" fillId="0" borderId="13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166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right" vertical="center" indent="1"/>
    </xf>
    <xf numFmtId="165" fontId="0" fillId="0" borderId="1" xfId="0" applyNumberFormat="1" applyBorder="1" applyAlignment="1" applyProtection="1">
      <alignment horizontal="right" vertical="center" indent="1"/>
    </xf>
    <xf numFmtId="0" fontId="0" fillId="0" borderId="1" xfId="0" applyBorder="1" applyAlignment="1" applyProtection="1">
      <alignment horizontal="right" vertical="center" indent="1"/>
    </xf>
    <xf numFmtId="164" fontId="0" fillId="0" borderId="1" xfId="0" applyNumberForma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horizontal="center" vertical="center"/>
    </xf>
    <xf numFmtId="166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1" fontId="0" fillId="0" borderId="1" xfId="0" applyNumberFormat="1" applyBorder="1" applyAlignment="1" applyProtection="1">
      <alignment horizontal="center" vertical="center"/>
    </xf>
    <xf numFmtId="166" fontId="0" fillId="6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ill="1" applyBorder="1" applyAlignment="1" applyProtection="1">
      <alignment horizontal="left" vertical="center" indent="1"/>
    </xf>
    <xf numFmtId="0" fontId="19" fillId="0" borderId="0" xfId="0" applyFont="1" applyAlignment="1">
      <alignment vertical="center"/>
    </xf>
    <xf numFmtId="165" fontId="0" fillId="3" borderId="1" xfId="0" applyNumberFormat="1" applyFill="1" applyBorder="1" applyAlignment="1" applyProtection="1">
      <alignment horizontal="right" vertical="center" indent="1"/>
    </xf>
    <xf numFmtId="0" fontId="4" fillId="0" borderId="0" xfId="0" applyFont="1" applyAlignment="1" applyProtection="1"/>
    <xf numFmtId="0" fontId="0" fillId="0" borderId="0" xfId="0" applyFont="1" applyAlignment="1" applyProtection="1"/>
    <xf numFmtId="164" fontId="0" fillId="0" borderId="0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center" vertical="center"/>
    </xf>
    <xf numFmtId="4" fontId="4" fillId="0" borderId="0" xfId="0" applyNumberFormat="1" applyFont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11" xfId="0" applyNumberFormat="1" applyFont="1" applyFill="1" applyBorder="1" applyAlignment="1">
      <alignment horizontal="right" vertical="center"/>
    </xf>
    <xf numFmtId="0" fontId="28" fillId="0" borderId="10" xfId="0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9" fillId="0" borderId="10" xfId="0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164" fontId="14" fillId="0" borderId="0" xfId="0" applyNumberFormat="1" applyFont="1" applyBorder="1" applyAlignment="1">
      <alignment horizontal="center" vertical="center"/>
    </xf>
    <xf numFmtId="0" fontId="3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0" xfId="0" applyFont="1" applyFill="1" applyAlignment="1" applyProtection="1">
      <alignment vertical="center"/>
    </xf>
    <xf numFmtId="164" fontId="32" fillId="0" borderId="23" xfId="0" applyNumberFormat="1" applyFont="1" applyBorder="1" applyAlignment="1" applyProtection="1">
      <alignment horizontal="left" vertical="center"/>
    </xf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22" fillId="0" borderId="26" xfId="0" applyFont="1" applyBorder="1" applyAlignment="1" applyProtection="1">
      <alignment vertical="center"/>
    </xf>
    <xf numFmtId="0" fontId="23" fillId="0" borderId="26" xfId="0" applyFont="1" applyBorder="1" applyAlignment="1" applyProtection="1">
      <alignment horizontal="left" vertical="center"/>
    </xf>
    <xf numFmtId="0" fontId="0" fillId="0" borderId="26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164" fontId="23" fillId="0" borderId="1" xfId="0" applyNumberFormat="1" applyFont="1" applyBorder="1" applyAlignment="1" applyProtection="1">
      <alignment horizontal="right" vertical="center" indent="1"/>
      <protection locked="0"/>
    </xf>
    <xf numFmtId="165" fontId="23" fillId="0" borderId="1" xfId="0" applyNumberFormat="1" applyFont="1" applyBorder="1" applyAlignment="1" applyProtection="1">
      <alignment horizontal="right" vertical="center" indent="1"/>
      <protection locked="0"/>
    </xf>
    <xf numFmtId="0" fontId="23" fillId="0" borderId="1" xfId="0" applyFont="1" applyBorder="1" applyAlignment="1" applyProtection="1">
      <alignment horizontal="right" vertical="center" indent="1"/>
      <protection locked="0"/>
    </xf>
    <xf numFmtId="164" fontId="22" fillId="0" borderId="1" xfId="0" applyNumberFormat="1" applyFont="1" applyBorder="1" applyAlignment="1" applyProtection="1">
      <alignment horizontal="right" vertical="center" indent="1"/>
    </xf>
    <xf numFmtId="166" fontId="22" fillId="0" borderId="9" xfId="0" applyNumberFormat="1" applyFont="1" applyBorder="1" applyAlignment="1" applyProtection="1">
      <alignment horizontal="right" vertical="center" indent="1"/>
    </xf>
    <xf numFmtId="166" fontId="0" fillId="0" borderId="0" xfId="0" applyNumberForma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165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165" fontId="22" fillId="0" borderId="1" xfId="0" applyNumberFormat="1" applyFont="1" applyBorder="1" applyAlignment="1" applyProtection="1">
      <alignment horizontal="right" vertical="center" indent="1"/>
    </xf>
    <xf numFmtId="165" fontId="22" fillId="0" borderId="9" xfId="0" applyNumberFormat="1" applyFont="1" applyBorder="1" applyAlignment="1" applyProtection="1">
      <alignment horizontal="right" vertical="center" indent="1"/>
    </xf>
    <xf numFmtId="166" fontId="0" fillId="0" borderId="0" xfId="0" applyNumberFormat="1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164" fontId="24" fillId="0" borderId="23" xfId="0" applyNumberFormat="1" applyFont="1" applyBorder="1" applyAlignment="1" applyProtection="1">
      <alignment horizontal="left" vertical="center"/>
    </xf>
    <xf numFmtId="164" fontId="17" fillId="0" borderId="24" xfId="0" applyNumberFormat="1" applyFont="1" applyBorder="1" applyAlignment="1" applyProtection="1">
      <alignment horizontal="center" vertical="center"/>
    </xf>
    <xf numFmtId="10" fontId="0" fillId="0" borderId="24" xfId="0" applyNumberFormat="1" applyFill="1" applyBorder="1" applyAlignment="1" applyProtection="1">
      <alignment horizontal="center" vertical="center"/>
    </xf>
    <xf numFmtId="164" fontId="4" fillId="0" borderId="24" xfId="0" applyNumberFormat="1" applyFont="1" applyBorder="1" applyAlignment="1" applyProtection="1">
      <alignment horizontal="center" vertical="center"/>
    </xf>
    <xf numFmtId="164" fontId="22" fillId="0" borderId="26" xfId="0" applyNumberFormat="1" applyFont="1" applyBorder="1" applyAlignment="1" applyProtection="1">
      <alignment horizontal="left" vertical="center"/>
    </xf>
    <xf numFmtId="164" fontId="17" fillId="0" borderId="0" xfId="0" applyNumberFormat="1" applyFont="1" applyBorder="1" applyAlignment="1" applyProtection="1">
      <alignment horizontal="center" vertical="center"/>
    </xf>
    <xf numFmtId="10" fontId="0" fillId="0" borderId="0" xfId="0" applyNumberForma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23" fillId="0" borderId="30" xfId="0" applyFont="1" applyBorder="1" applyAlignment="1" applyProtection="1">
      <alignment horizontal="center" vertical="center"/>
    </xf>
    <xf numFmtId="0" fontId="23" fillId="0" borderId="31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164" fontId="22" fillId="0" borderId="29" xfId="0" applyNumberFormat="1" applyFont="1" applyBorder="1" applyAlignment="1" applyProtection="1">
      <alignment horizontal="center" vertical="center"/>
    </xf>
    <xf numFmtId="164" fontId="22" fillId="0" borderId="32" xfId="0" applyNumberFormat="1" applyFont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vertical="center"/>
    </xf>
    <xf numFmtId="164" fontId="22" fillId="0" borderId="33" xfId="0" applyNumberFormat="1" applyFon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22" fillId="0" borderId="24" xfId="0" applyFont="1" applyBorder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0" fillId="0" borderId="10" xfId="0" applyBorder="1" applyAlignment="1" applyProtection="1">
      <alignment vertical="center"/>
    </xf>
    <xf numFmtId="165" fontId="0" fillId="0" borderId="0" xfId="0" applyNumberForma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164" fontId="0" fillId="3" borderId="1" xfId="0" applyNumberForma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wrapText="1"/>
    </xf>
    <xf numFmtId="0" fontId="4" fillId="4" borderId="1" xfId="0" applyFont="1" applyFill="1" applyBorder="1" applyAlignment="1" applyProtection="1">
      <alignment horizontal="center" wrapText="1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1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64" fontId="4" fillId="0" borderId="4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49" fontId="4" fillId="0" borderId="1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166" fontId="0" fillId="0" borderId="0" xfId="0" applyNumberFormat="1" applyAlignment="1">
      <alignment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right" vertical="center"/>
    </xf>
    <xf numFmtId="0" fontId="36" fillId="0" borderId="0" xfId="0" applyFont="1"/>
    <xf numFmtId="165" fontId="0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left" vertical="center"/>
    </xf>
    <xf numFmtId="0" fontId="36" fillId="0" borderId="0" xfId="0" applyFont="1" applyAlignment="1">
      <alignment vertical="center"/>
    </xf>
    <xf numFmtId="166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left" vertical="center" inden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>
      <alignment vertical="center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66" fontId="22" fillId="0" borderId="32" xfId="0" applyNumberFormat="1" applyFont="1" applyBorder="1" applyAlignment="1" applyProtection="1">
      <alignment horizontal="center" vertical="center"/>
    </xf>
    <xf numFmtId="0" fontId="0" fillId="0" borderId="28" xfId="0" applyBorder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Alignment="1" applyProtection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quotePrefix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>
      <alignment horizontal="right" vertical="center"/>
    </xf>
    <xf numFmtId="164" fontId="24" fillId="0" borderId="23" xfId="0" applyNumberFormat="1" applyFont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2" fillId="0" borderId="26" xfId="0" applyFont="1" applyBorder="1" applyAlignment="1">
      <alignment vertical="center"/>
    </xf>
    <xf numFmtId="164" fontId="22" fillId="0" borderId="29" xfId="0" applyNumberFormat="1" applyFont="1" applyBorder="1" applyAlignment="1">
      <alignment horizontal="center" vertical="center"/>
    </xf>
    <xf numFmtId="164" fontId="22" fillId="0" borderId="32" xfId="0" applyNumberFormat="1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0" fontId="28" fillId="0" borderId="10" xfId="0" applyFont="1" applyFill="1" applyBorder="1" applyAlignment="1">
      <alignment horizontal="left" vertical="center" indent="1"/>
    </xf>
    <xf numFmtId="0" fontId="29" fillId="0" borderId="10" xfId="0" applyFont="1" applyFill="1" applyBorder="1" applyAlignment="1">
      <alignment horizontal="left" vertical="center" indent="1"/>
    </xf>
    <xf numFmtId="0" fontId="3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66" fontId="4" fillId="0" borderId="0" xfId="0" applyNumberFormat="1" applyFont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</xf>
    <xf numFmtId="166" fontId="34" fillId="0" borderId="0" xfId="0" applyNumberFormat="1" applyFont="1" applyBorder="1" applyAlignment="1" applyProtection="1">
      <alignment horizontal="center" vertical="center"/>
    </xf>
    <xf numFmtId="165" fontId="34" fillId="0" borderId="0" xfId="0" applyNumberFormat="1" applyFont="1" applyBorder="1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</xf>
    <xf numFmtId="166" fontId="0" fillId="0" borderId="0" xfId="0" applyNumberFormat="1" applyFont="1" applyBorder="1" applyAlignment="1" applyProtection="1">
      <alignment horizontal="left" vertical="center"/>
    </xf>
    <xf numFmtId="164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6" fillId="0" borderId="24" xfId="0" applyFont="1" applyBorder="1" applyAlignment="1">
      <alignment vertical="center"/>
    </xf>
    <xf numFmtId="166" fontId="0" fillId="5" borderId="1" xfId="0" applyNumberFormat="1" applyFill="1" applyBorder="1" applyAlignment="1" applyProtection="1">
      <alignment horizontal="center" vertical="center"/>
    </xf>
    <xf numFmtId="166" fontId="0" fillId="7" borderId="1" xfId="0" applyNumberFormat="1" applyFill="1" applyBorder="1" applyAlignment="1" applyProtection="1">
      <alignment horizontal="center" vertical="center"/>
    </xf>
    <xf numFmtId="164" fontId="34" fillId="0" borderId="0" xfId="0" applyNumberFormat="1" applyFont="1" applyBorder="1" applyAlignment="1" applyProtection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 wrapText="1"/>
    </xf>
    <xf numFmtId="166" fontId="4" fillId="0" borderId="21" xfId="0" applyNumberFormat="1" applyFont="1" applyBorder="1" applyAlignment="1">
      <alignment horizontal="center" vertical="center"/>
    </xf>
    <xf numFmtId="166" fontId="4" fillId="0" borderId="4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3" fontId="0" fillId="0" borderId="0" xfId="0" applyNumberFormat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left" vertical="center"/>
    </xf>
    <xf numFmtId="164" fontId="0" fillId="5" borderId="1" xfId="0" applyNumberFormat="1" applyFill="1" applyBorder="1" applyAlignment="1">
      <alignment horizontal="right" vertical="center" indent="1"/>
    </xf>
    <xf numFmtId="164" fontId="0" fillId="7" borderId="1" xfId="0" applyNumberFormat="1" applyFill="1" applyBorder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Protection="1"/>
    <xf numFmtId="0" fontId="0" fillId="0" borderId="0" xfId="0" applyFill="1" applyBorder="1" applyProtection="1"/>
    <xf numFmtId="4" fontId="4" fillId="0" borderId="0" xfId="0" applyNumberFormat="1" applyFont="1" applyBorder="1" applyAlignment="1" applyProtection="1">
      <alignment horizontal="right" indent="1"/>
    </xf>
    <xf numFmtId="164" fontId="4" fillId="0" borderId="0" xfId="0" applyNumberFormat="1" applyFont="1" applyFill="1" applyBorder="1" applyAlignment="1" applyProtection="1">
      <alignment horizontal="right" indent="1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vertical="center" wrapText="1"/>
    </xf>
    <xf numFmtId="0" fontId="0" fillId="0" borderId="3" xfId="0" applyBorder="1" applyAlignment="1">
      <alignment vertical="center"/>
    </xf>
    <xf numFmtId="0" fontId="0" fillId="0" borderId="52" xfId="0" applyBorder="1" applyAlignment="1">
      <alignment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 indent="1"/>
    </xf>
    <xf numFmtId="0" fontId="4" fillId="0" borderId="1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0" xfId="0" applyBorder="1" applyAlignment="1" applyProtection="1">
      <alignment horizontal="left" vertical="center"/>
    </xf>
    <xf numFmtId="4" fontId="4" fillId="0" borderId="11" xfId="0" applyNumberFormat="1" applyFont="1" applyBorder="1" applyAlignment="1" applyProtection="1">
      <alignment horizontal="right" vertical="center"/>
    </xf>
    <xf numFmtId="0" fontId="0" fillId="0" borderId="6" xfId="0" applyBorder="1" applyAlignment="1" applyProtection="1">
      <alignment vertical="center"/>
    </xf>
    <xf numFmtId="4" fontId="4" fillId="0" borderId="12" xfId="0" applyNumberFormat="1" applyFont="1" applyBorder="1" applyAlignment="1" applyProtection="1">
      <alignment horizontal="right" vertical="center"/>
    </xf>
    <xf numFmtId="4" fontId="4" fillId="0" borderId="7" xfId="0" applyNumberFormat="1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164" fontId="13" fillId="0" borderId="0" xfId="0" applyNumberFormat="1" applyFont="1" applyBorder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23" fillId="0" borderId="0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vertical="center"/>
    </xf>
    <xf numFmtId="0" fontId="40" fillId="0" borderId="0" xfId="0" applyFont="1" applyAlignment="1" applyProtection="1">
      <alignment horizontal="left" vertical="center"/>
    </xf>
    <xf numFmtId="0" fontId="27" fillId="0" borderId="0" xfId="1">
      <alignment horizontal="left" vertical="center"/>
    </xf>
    <xf numFmtId="0" fontId="2" fillId="0" borderId="0" xfId="2">
      <alignment horizontal="left" vertical="center"/>
    </xf>
    <xf numFmtId="0" fontId="25" fillId="0" borderId="0" xfId="2" applyFont="1">
      <alignment horizontal="left" vertical="center"/>
    </xf>
    <xf numFmtId="0" fontId="26" fillId="0" borderId="0" xfId="3" applyProtection="1">
      <alignment horizontal="left" vertical="center"/>
    </xf>
    <xf numFmtId="0" fontId="30" fillId="0" borderId="0" xfId="3" applyFont="1" applyProtection="1">
      <alignment horizontal="left" vertical="center"/>
    </xf>
    <xf numFmtId="0" fontId="26" fillId="0" borderId="0" xfId="3">
      <alignment horizontal="left" vertical="center"/>
    </xf>
    <xf numFmtId="0" fontId="34" fillId="0" borderId="0" xfId="4">
      <alignment horizontal="left" vertical="center"/>
    </xf>
    <xf numFmtId="0" fontId="35" fillId="0" borderId="0" xfId="5">
      <alignment horizontal="left" vertical="center"/>
    </xf>
    <xf numFmtId="0" fontId="38" fillId="0" borderId="0" xfId="5" applyFont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indent="2"/>
    </xf>
    <xf numFmtId="0" fontId="4" fillId="0" borderId="1" xfId="0" applyFont="1" applyBorder="1" applyAlignment="1">
      <alignment horizontal="center" vertical="center" wrapText="1"/>
    </xf>
    <xf numFmtId="0" fontId="40" fillId="0" borderId="0" xfId="6">
      <alignment horizontal="left" vertical="center"/>
    </xf>
    <xf numFmtId="0" fontId="41" fillId="0" borderId="0" xfId="6" applyFont="1">
      <alignment horizontal="left" vertical="center"/>
    </xf>
    <xf numFmtId="0" fontId="41" fillId="0" borderId="26" xfId="6" applyFont="1" applyBorder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 applyAlignment="1" applyProtection="1">
      <alignment vertical="center"/>
    </xf>
    <xf numFmtId="0" fontId="40" fillId="0" borderId="1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6" fontId="4" fillId="0" borderId="5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64" fontId="4" fillId="0" borderId="26" xfId="0" applyNumberFormat="1" applyFont="1" applyBorder="1" applyAlignment="1" applyProtection="1">
      <alignment horizontal="center" vertical="center"/>
    </xf>
    <xf numFmtId="0" fontId="0" fillId="0" borderId="26" xfId="0" applyBorder="1" applyAlignment="1">
      <alignment vertical="center"/>
    </xf>
    <xf numFmtId="0" fontId="0" fillId="0" borderId="22" xfId="0" applyBorder="1"/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2" fillId="0" borderId="0" xfId="0" applyNumberFormat="1" applyFont="1" applyBorder="1" applyAlignment="1" applyProtection="1">
      <alignment horizontal="center" vertical="center"/>
    </xf>
    <xf numFmtId="0" fontId="4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 indent="2"/>
    </xf>
    <xf numFmtId="0" fontId="0" fillId="0" borderId="0" xfId="0" applyBorder="1" applyAlignment="1" applyProtection="1">
      <alignment horizontal="left" vertical="center"/>
    </xf>
    <xf numFmtId="0" fontId="35" fillId="0" borderId="0" xfId="5" applyAlignment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2" fillId="0" borderId="59" xfId="0" applyFont="1" applyBorder="1" applyAlignment="1">
      <alignment horizontal="left" vertical="center" indent="1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13" xfId="0" applyNumberFormat="1" applyBorder="1" applyAlignment="1" applyProtection="1">
      <alignment horizontal="center" vertical="center"/>
    </xf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0" xfId="0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4" fillId="0" borderId="59" xfId="0" applyFont="1" applyBorder="1"/>
    <xf numFmtId="0" fontId="44" fillId="0" borderId="0" xfId="7" applyAlignment="1">
      <alignment vertical="center"/>
    </xf>
    <xf numFmtId="0" fontId="44" fillId="0" borderId="0" xfId="7" applyAlignment="1" applyProtection="1">
      <alignment horizontal="left" vertical="center"/>
    </xf>
    <xf numFmtId="0" fontId="44" fillId="0" borderId="0" xfId="7" applyAlignment="1">
      <alignment horizontal="left" vertical="center"/>
    </xf>
    <xf numFmtId="0" fontId="44" fillId="0" borderId="0" xfId="7" applyAlignment="1">
      <alignment horizontal="left" vertical="center" indent="3"/>
    </xf>
    <xf numFmtId="0" fontId="44" fillId="0" borderId="0" xfId="7" applyAlignment="1" applyProtection="1">
      <alignment horizontal="left" vertical="center" indent="3"/>
    </xf>
    <xf numFmtId="164" fontId="15" fillId="0" borderId="0" xfId="0" applyNumberFormat="1" applyFont="1" applyBorder="1" applyAlignment="1">
      <alignment horizontal="center" vertical="center"/>
    </xf>
    <xf numFmtId="0" fontId="44" fillId="0" borderId="0" xfId="7" applyBorder="1" applyAlignment="1" applyProtection="1">
      <alignment vertical="center"/>
    </xf>
    <xf numFmtId="166" fontId="0" fillId="5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21" fillId="0" borderId="69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46" fillId="0" borderId="67" xfId="0" applyFont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" fillId="0" borderId="0" xfId="0" applyFont="1"/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vertical="center" indent="1"/>
    </xf>
    <xf numFmtId="0" fontId="4" fillId="0" borderId="8" xfId="0" applyFont="1" applyBorder="1" applyAlignment="1" applyProtection="1">
      <alignment horizontal="left" vertical="center" indent="1"/>
    </xf>
    <xf numFmtId="0" fontId="4" fillId="0" borderId="14" xfId="0" applyFont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</xf>
    <xf numFmtId="166" fontId="0" fillId="0" borderId="9" xfId="0" applyNumberFormat="1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indent="1"/>
    </xf>
    <xf numFmtId="0" fontId="13" fillId="0" borderId="14" xfId="0" applyFont="1" applyBorder="1" applyAlignment="1" applyProtection="1">
      <alignment horizontal="left" vertical="center" indent="1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6" fillId="0" borderId="64" xfId="0" applyFont="1" applyBorder="1" applyAlignment="1" applyProtection="1">
      <alignment horizontal="left" vertical="center" wrapText="1" indent="1"/>
    </xf>
    <xf numFmtId="0" fontId="36" fillId="0" borderId="65" xfId="0" applyFont="1" applyBorder="1" applyAlignment="1" applyProtection="1">
      <alignment horizontal="left" vertical="center" indent="1"/>
    </xf>
    <xf numFmtId="0" fontId="36" fillId="0" borderId="66" xfId="0" applyFont="1" applyBorder="1" applyAlignment="1" applyProtection="1">
      <alignment horizontal="left" vertical="center" indent="1"/>
    </xf>
    <xf numFmtId="0" fontId="36" fillId="0" borderId="67" xfId="0" applyFont="1" applyBorder="1" applyAlignment="1" applyProtection="1">
      <alignment horizontal="left" vertical="center" indent="1"/>
    </xf>
    <xf numFmtId="0" fontId="36" fillId="0" borderId="0" xfId="0" applyFont="1" applyBorder="1" applyAlignment="1" applyProtection="1">
      <alignment horizontal="left" vertical="center" indent="1"/>
    </xf>
    <xf numFmtId="0" fontId="36" fillId="0" borderId="68" xfId="0" applyFont="1" applyBorder="1" applyAlignment="1" applyProtection="1">
      <alignment horizontal="left" vertical="center" indent="1"/>
    </xf>
    <xf numFmtId="0" fontId="36" fillId="0" borderId="69" xfId="0" applyFont="1" applyBorder="1" applyAlignment="1" applyProtection="1">
      <alignment horizontal="left" vertical="center" indent="1"/>
    </xf>
    <xf numFmtId="0" fontId="36" fillId="0" borderId="70" xfId="0" applyFont="1" applyBorder="1" applyAlignment="1" applyProtection="1">
      <alignment horizontal="left" vertical="center" indent="1"/>
    </xf>
    <xf numFmtId="0" fontId="36" fillId="0" borderId="71" xfId="0" applyFont="1" applyBorder="1" applyAlignment="1" applyProtection="1">
      <alignment horizontal="left" vertical="center" indent="1"/>
    </xf>
    <xf numFmtId="0" fontId="0" fillId="0" borderId="1" xfId="0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2" fillId="0" borderId="13" xfId="0" applyFont="1" applyBorder="1" applyAlignment="1" applyProtection="1">
      <alignment horizontal="left" vertical="center" indent="1"/>
    </xf>
    <xf numFmtId="0" fontId="22" fillId="0" borderId="14" xfId="0" applyFont="1" applyBorder="1" applyAlignment="1" applyProtection="1">
      <alignment horizontal="left" vertical="center" indent="1"/>
    </xf>
    <xf numFmtId="0" fontId="22" fillId="0" borderId="8" xfId="0" applyFont="1" applyBorder="1" applyAlignment="1" applyProtection="1">
      <alignment horizontal="left" vertical="center" indent="1"/>
    </xf>
    <xf numFmtId="0" fontId="40" fillId="0" borderId="4" xfId="0" applyFont="1" applyBorder="1" applyAlignment="1" applyProtection="1">
      <alignment horizontal="left" vertical="center" wrapText="1" indent="2"/>
    </xf>
    <xf numFmtId="0" fontId="40" fillId="0" borderId="3" xfId="0" applyFont="1" applyBorder="1" applyAlignment="1" applyProtection="1">
      <alignment horizontal="left" vertical="center" wrapText="1" indent="2"/>
    </xf>
    <xf numFmtId="0" fontId="40" fillId="0" borderId="5" xfId="0" applyFont="1" applyBorder="1" applyAlignment="1" applyProtection="1">
      <alignment horizontal="left" vertical="center" wrapText="1" indent="2"/>
    </xf>
    <xf numFmtId="0" fontId="40" fillId="0" borderId="10" xfId="0" applyFont="1" applyBorder="1" applyAlignment="1" applyProtection="1">
      <alignment horizontal="left" vertical="center" wrapText="1" indent="2"/>
    </xf>
    <xf numFmtId="0" fontId="40" fillId="0" borderId="0" xfId="0" applyFont="1" applyBorder="1" applyAlignment="1" applyProtection="1">
      <alignment horizontal="left" vertical="center" wrapText="1" indent="2"/>
    </xf>
    <xf numFmtId="0" fontId="40" fillId="0" borderId="11" xfId="0" applyFont="1" applyBorder="1" applyAlignment="1" applyProtection="1">
      <alignment horizontal="left" vertical="center" wrapText="1" indent="2"/>
    </xf>
    <xf numFmtId="0" fontId="40" fillId="0" borderId="6" xfId="0" applyFont="1" applyBorder="1" applyAlignment="1" applyProtection="1">
      <alignment horizontal="left" vertical="center" wrapText="1" indent="2"/>
    </xf>
    <xf numFmtId="0" fontId="40" fillId="0" borderId="12" xfId="0" applyFont="1" applyBorder="1" applyAlignment="1" applyProtection="1">
      <alignment horizontal="left" vertical="center" wrapText="1" indent="2"/>
    </xf>
    <xf numFmtId="0" fontId="40" fillId="0" borderId="7" xfId="0" applyFont="1" applyBorder="1" applyAlignment="1" applyProtection="1">
      <alignment horizontal="left" vertical="center" wrapText="1" indent="2"/>
    </xf>
    <xf numFmtId="0" fontId="40" fillId="0" borderId="4" xfId="0" applyFont="1" applyFill="1" applyBorder="1" applyAlignment="1" applyProtection="1">
      <alignment horizontal="left" vertical="center" wrapText="1" indent="2"/>
    </xf>
    <xf numFmtId="0" fontId="40" fillId="0" borderId="3" xfId="0" applyFont="1" applyFill="1" applyBorder="1" applyAlignment="1" applyProtection="1">
      <alignment horizontal="left" vertical="center" indent="2"/>
    </xf>
    <xf numFmtId="0" fontId="40" fillId="0" borderId="5" xfId="0" applyFont="1" applyFill="1" applyBorder="1" applyAlignment="1" applyProtection="1">
      <alignment horizontal="left" vertical="center" indent="2"/>
    </xf>
    <xf numFmtId="0" fontId="40" fillId="0" borderId="10" xfId="0" applyFont="1" applyFill="1" applyBorder="1" applyAlignment="1" applyProtection="1">
      <alignment horizontal="left" vertical="center" indent="2"/>
    </xf>
    <xf numFmtId="0" fontId="40" fillId="0" borderId="0" xfId="0" applyFont="1" applyFill="1" applyBorder="1" applyAlignment="1" applyProtection="1">
      <alignment horizontal="left" vertical="center" indent="2"/>
    </xf>
    <xf numFmtId="0" fontId="40" fillId="0" borderId="11" xfId="0" applyFont="1" applyFill="1" applyBorder="1" applyAlignment="1" applyProtection="1">
      <alignment horizontal="left" vertical="center" indent="2"/>
    </xf>
    <xf numFmtId="0" fontId="40" fillId="0" borderId="6" xfId="0" applyFont="1" applyFill="1" applyBorder="1" applyAlignment="1" applyProtection="1">
      <alignment horizontal="left" vertical="center" indent="2"/>
    </xf>
    <xf numFmtId="0" fontId="40" fillId="0" borderId="12" xfId="0" applyFont="1" applyFill="1" applyBorder="1" applyAlignment="1" applyProtection="1">
      <alignment horizontal="left" vertical="center" indent="2"/>
    </xf>
    <xf numFmtId="0" fontId="40" fillId="0" borderId="7" xfId="0" applyFont="1" applyFill="1" applyBorder="1" applyAlignment="1" applyProtection="1">
      <alignment horizontal="left" vertical="center" indent="2"/>
    </xf>
    <xf numFmtId="0" fontId="0" fillId="0" borderId="1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9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4" fontId="0" fillId="0" borderId="19" xfId="0" applyNumberFormat="1" applyBorder="1" applyAlignment="1" applyProtection="1">
      <alignment horizontal="center" vertical="center"/>
    </xf>
    <xf numFmtId="4" fontId="0" fillId="0" borderId="20" xfId="0" applyNumberForma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/>
    </xf>
    <xf numFmtId="0" fontId="22" fillId="0" borderId="9" xfId="0" applyFont="1" applyBorder="1" applyAlignment="1" applyProtection="1">
      <alignment horizontal="left" vertical="center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left" vertical="center" indent="1"/>
    </xf>
    <xf numFmtId="0" fontId="0" fillId="0" borderId="38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 indent="2"/>
    </xf>
    <xf numFmtId="0" fontId="3" fillId="0" borderId="3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0" fontId="3" fillId="0" borderId="10" xfId="0" applyFont="1" applyBorder="1" applyAlignment="1" applyProtection="1">
      <alignment horizontal="left" vertical="center" indent="2"/>
    </xf>
    <xf numFmtId="0" fontId="3" fillId="0" borderId="0" xfId="0" applyFont="1" applyBorder="1" applyAlignment="1" applyProtection="1">
      <alignment horizontal="left" vertical="center" indent="2"/>
    </xf>
    <xf numFmtId="0" fontId="3" fillId="0" borderId="11" xfId="0" applyFont="1" applyBorder="1" applyAlignment="1" applyProtection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12" xfId="0" applyFont="1" applyBorder="1" applyAlignment="1" applyProtection="1">
      <alignment horizontal="left" vertical="center" indent="2"/>
    </xf>
    <xf numFmtId="0" fontId="3" fillId="0" borderId="7" xfId="0" applyFont="1" applyBorder="1" applyAlignment="1" applyProtection="1">
      <alignment horizontal="left" vertical="center" indent="2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4" xfId="0" applyFont="1" applyBorder="1" applyAlignment="1" applyProtection="1">
      <alignment horizontal="left" vertical="center" wrapText="1" indent="1"/>
    </xf>
    <xf numFmtId="0" fontId="3" fillId="0" borderId="3" xfId="0" applyFont="1" applyBorder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 indent="1"/>
    </xf>
    <xf numFmtId="0" fontId="3" fillId="0" borderId="10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11" xfId="0" applyFont="1" applyBorder="1" applyAlignment="1" applyProtection="1">
      <alignment horizontal="left" vertical="center" wrapText="1" indent="1"/>
    </xf>
    <xf numFmtId="0" fontId="3" fillId="0" borderId="6" xfId="0" applyFont="1" applyBorder="1" applyAlignment="1" applyProtection="1">
      <alignment horizontal="left" vertical="center" wrapText="1" indent="1"/>
    </xf>
    <xf numFmtId="0" fontId="3" fillId="0" borderId="12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3" fontId="0" fillId="0" borderId="9" xfId="0" applyNumberFormat="1" applyFill="1" applyBorder="1" applyAlignment="1" applyProtection="1">
      <alignment horizontal="center" vertical="center"/>
    </xf>
    <xf numFmtId="3" fontId="0" fillId="0" borderId="2" xfId="0" applyNumberFormat="1" applyFill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</xf>
    <xf numFmtId="0" fontId="4" fillId="7" borderId="13" xfId="0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horizontal="center" vertical="center"/>
    </xf>
    <xf numFmtId="0" fontId="4" fillId="7" borderId="14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 wrapText="1"/>
    </xf>
    <xf numFmtId="4" fontId="20" fillId="0" borderId="17" xfId="0" applyNumberFormat="1" applyFont="1" applyFill="1" applyBorder="1" applyAlignment="1">
      <alignment horizontal="center" vertical="center"/>
    </xf>
    <xf numFmtId="4" fontId="20" fillId="0" borderId="8" xfId="0" applyNumberFormat="1" applyFont="1" applyFill="1" applyBorder="1" applyAlignment="1">
      <alignment horizontal="center" vertical="center"/>
    </xf>
    <xf numFmtId="4" fontId="20" fillId="0" borderId="1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64" fontId="4" fillId="5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5" fontId="0" fillId="0" borderId="9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0" fillId="0" borderId="4" xfId="0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0" fontId="0" fillId="0" borderId="5" xfId="0" applyBorder="1" applyAlignment="1">
      <alignment horizontal="left" vertical="top" wrapText="1" indent="1"/>
    </xf>
    <xf numFmtId="0" fontId="0" fillId="0" borderId="6" xfId="0" applyBorder="1" applyAlignment="1">
      <alignment horizontal="left" vertical="top" wrapText="1" indent="1"/>
    </xf>
    <xf numFmtId="0" fontId="0" fillId="0" borderId="12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8">
    <cellStyle name="Alfa" xfId="4"/>
    <cellStyle name="Hiperlink" xfId="7" builtinId="8"/>
    <cellStyle name="Normal" xfId="0" builtinId="0"/>
    <cellStyle name="Sublinhado" xfId="5"/>
    <cellStyle name="Título 1" xfId="1" builtinId="16" customBuiltin="1"/>
    <cellStyle name="Título 2" xfId="2" builtinId="17" customBuiltin="1"/>
    <cellStyle name="Título 3" xfId="3" builtinId="18" customBuiltin="1"/>
    <cellStyle name="TítuloTabela" xfId="6"/>
  </cellStyles>
  <dxfs count="29">
    <dxf>
      <font>
        <color theme="0" tint="-0.34998626667073579"/>
      </font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lor rgb="FFFF0000"/>
      </font>
      <fill>
        <patternFill>
          <bgColor rgb="FFFFFF00"/>
        </patternFill>
      </fill>
    </dxf>
    <dxf>
      <font>
        <color theme="0" tint="-0.34998626667073579"/>
      </font>
    </dxf>
    <dxf>
      <font>
        <color rgb="FFFF0000"/>
      </font>
      <fill>
        <patternFill>
          <bgColor rgb="FFFFFF00"/>
        </patternFill>
      </fill>
    </dxf>
    <dxf>
      <font>
        <b val="0"/>
        <i val="0"/>
        <strike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7.jpeg"/><Relationship Id="rId3" Type="http://schemas.openxmlformats.org/officeDocument/2006/relationships/image" Target="../media/image9.jpeg"/><Relationship Id="rId7" Type="http://schemas.openxmlformats.org/officeDocument/2006/relationships/image" Target="../media/image13.jpeg"/><Relationship Id="rId12" Type="http://schemas.openxmlformats.org/officeDocument/2006/relationships/image" Target="../media/image16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11" Type="http://schemas.openxmlformats.org/officeDocument/2006/relationships/image" Target="../media/image5.jpeg"/><Relationship Id="rId5" Type="http://schemas.openxmlformats.org/officeDocument/2006/relationships/image" Target="../media/image11.jpeg"/><Relationship Id="rId10" Type="http://schemas.openxmlformats.org/officeDocument/2006/relationships/image" Target="../media/image15.jpeg"/><Relationship Id="rId4" Type="http://schemas.openxmlformats.org/officeDocument/2006/relationships/image" Target="../media/image10.jpeg"/><Relationship Id="rId9" Type="http://schemas.openxmlformats.org/officeDocument/2006/relationships/image" Target="../media/image14.jpeg"/><Relationship Id="rId1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eg"/><Relationship Id="rId13" Type="http://schemas.openxmlformats.org/officeDocument/2006/relationships/image" Target="../media/image26.jpeg"/><Relationship Id="rId18" Type="http://schemas.openxmlformats.org/officeDocument/2006/relationships/image" Target="../media/image31.jpeg"/><Relationship Id="rId3" Type="http://schemas.openxmlformats.org/officeDocument/2006/relationships/image" Target="../media/image20.jpeg"/><Relationship Id="rId21" Type="http://schemas.openxmlformats.org/officeDocument/2006/relationships/image" Target="../media/image34.jpeg"/><Relationship Id="rId7" Type="http://schemas.openxmlformats.org/officeDocument/2006/relationships/image" Target="../media/image22.jpeg"/><Relationship Id="rId12" Type="http://schemas.openxmlformats.org/officeDocument/2006/relationships/image" Target="../media/image25.jpeg"/><Relationship Id="rId17" Type="http://schemas.openxmlformats.org/officeDocument/2006/relationships/image" Target="../media/image30.jpeg"/><Relationship Id="rId2" Type="http://schemas.openxmlformats.org/officeDocument/2006/relationships/image" Target="../media/image19.jpeg"/><Relationship Id="rId16" Type="http://schemas.openxmlformats.org/officeDocument/2006/relationships/image" Target="../media/image29.jpeg"/><Relationship Id="rId20" Type="http://schemas.openxmlformats.org/officeDocument/2006/relationships/image" Target="../media/image33.jpeg"/><Relationship Id="rId1" Type="http://schemas.openxmlformats.org/officeDocument/2006/relationships/image" Target="../media/image18.jpeg"/><Relationship Id="rId6" Type="http://schemas.openxmlformats.org/officeDocument/2006/relationships/image" Target="../media/image3.jpeg"/><Relationship Id="rId11" Type="http://schemas.openxmlformats.org/officeDocument/2006/relationships/image" Target="../media/image24.jpeg"/><Relationship Id="rId5" Type="http://schemas.openxmlformats.org/officeDocument/2006/relationships/image" Target="../media/image4.jpeg"/><Relationship Id="rId15" Type="http://schemas.openxmlformats.org/officeDocument/2006/relationships/image" Target="../media/image28.jpeg"/><Relationship Id="rId10" Type="http://schemas.openxmlformats.org/officeDocument/2006/relationships/image" Target="../media/image5.jpeg"/><Relationship Id="rId19" Type="http://schemas.openxmlformats.org/officeDocument/2006/relationships/image" Target="../media/image32.jpeg"/><Relationship Id="rId4" Type="http://schemas.openxmlformats.org/officeDocument/2006/relationships/image" Target="../media/image21.jpeg"/><Relationship Id="rId9" Type="http://schemas.openxmlformats.org/officeDocument/2006/relationships/image" Target="../media/image15.jpeg"/><Relationship Id="rId14" Type="http://schemas.openxmlformats.org/officeDocument/2006/relationships/image" Target="../media/image27.jpeg"/><Relationship Id="rId22" Type="http://schemas.openxmlformats.org/officeDocument/2006/relationships/image" Target="../media/image3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7.jpeg"/><Relationship Id="rId1" Type="http://schemas.openxmlformats.org/officeDocument/2006/relationships/image" Target="../media/image3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196</xdr:row>
      <xdr:rowOff>226219</xdr:rowOff>
    </xdr:from>
    <xdr:to>
      <xdr:col>8</xdr:col>
      <xdr:colOff>701883</xdr:colOff>
      <xdr:row>198</xdr:row>
      <xdr:rowOff>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7719" y="37576125"/>
          <a:ext cx="320883" cy="226219"/>
        </a:xfrm>
        <a:prstGeom prst="rect">
          <a:avLst/>
        </a:prstGeom>
      </xdr:spPr>
    </xdr:pic>
    <xdr:clientData/>
  </xdr:twoCellAnchor>
  <xdr:twoCellAnchor>
    <xdr:from>
      <xdr:col>11</xdr:col>
      <xdr:colOff>285751</xdr:colOff>
      <xdr:row>196</xdr:row>
      <xdr:rowOff>190500</xdr:rowOff>
    </xdr:from>
    <xdr:to>
      <xdr:col>11</xdr:col>
      <xdr:colOff>666751</xdr:colOff>
      <xdr:row>198</xdr:row>
      <xdr:rowOff>59531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5689" y="37540406"/>
          <a:ext cx="381000" cy="321469"/>
        </a:xfrm>
        <a:prstGeom prst="rect">
          <a:avLst/>
        </a:prstGeom>
      </xdr:spPr>
    </xdr:pic>
    <xdr:clientData/>
  </xdr:twoCellAnchor>
  <xdr:twoCellAnchor>
    <xdr:from>
      <xdr:col>8</xdr:col>
      <xdr:colOff>321471</xdr:colOff>
      <xdr:row>216</xdr:row>
      <xdr:rowOff>154782</xdr:rowOff>
    </xdr:from>
    <xdr:to>
      <xdr:col>8</xdr:col>
      <xdr:colOff>567931</xdr:colOff>
      <xdr:row>218</xdr:row>
      <xdr:rowOff>47626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8190" y="40266938"/>
          <a:ext cx="246460" cy="297657"/>
        </a:xfrm>
        <a:prstGeom prst="rect">
          <a:avLst/>
        </a:prstGeom>
      </xdr:spPr>
    </xdr:pic>
    <xdr:clientData/>
  </xdr:twoCellAnchor>
  <xdr:twoCellAnchor>
    <xdr:from>
      <xdr:col>8</xdr:col>
      <xdr:colOff>345282</xdr:colOff>
      <xdr:row>213</xdr:row>
      <xdr:rowOff>154781</xdr:rowOff>
    </xdr:from>
    <xdr:to>
      <xdr:col>8</xdr:col>
      <xdr:colOff>591742</xdr:colOff>
      <xdr:row>215</xdr:row>
      <xdr:rowOff>47625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1" y="40874156"/>
          <a:ext cx="246460" cy="297657"/>
        </a:xfrm>
        <a:prstGeom prst="rect">
          <a:avLst/>
        </a:prstGeom>
      </xdr:spPr>
    </xdr:pic>
    <xdr:clientData/>
  </xdr:twoCellAnchor>
  <xdr:twoCellAnchor>
    <xdr:from>
      <xdr:col>8</xdr:col>
      <xdr:colOff>333375</xdr:colOff>
      <xdr:row>210</xdr:row>
      <xdr:rowOff>202405</xdr:rowOff>
    </xdr:from>
    <xdr:to>
      <xdr:col>8</xdr:col>
      <xdr:colOff>579835</xdr:colOff>
      <xdr:row>212</xdr:row>
      <xdr:rowOff>83343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41957624"/>
          <a:ext cx="246460" cy="285750"/>
        </a:xfrm>
        <a:prstGeom prst="rect">
          <a:avLst/>
        </a:prstGeom>
      </xdr:spPr>
    </xdr:pic>
    <xdr:clientData/>
  </xdr:twoCellAnchor>
  <xdr:twoCellAnchor>
    <xdr:from>
      <xdr:col>10</xdr:col>
      <xdr:colOff>440530</xdr:colOff>
      <xdr:row>217</xdr:row>
      <xdr:rowOff>11908</xdr:rowOff>
    </xdr:from>
    <xdr:to>
      <xdr:col>10</xdr:col>
      <xdr:colOff>681193</xdr:colOff>
      <xdr:row>218</xdr:row>
      <xdr:rowOff>2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555" y="25291258"/>
          <a:ext cx="240663" cy="178594"/>
        </a:xfrm>
        <a:prstGeom prst="rect">
          <a:avLst/>
        </a:prstGeom>
      </xdr:spPr>
    </xdr:pic>
    <xdr:clientData/>
  </xdr:twoCellAnchor>
  <xdr:twoCellAnchor>
    <xdr:from>
      <xdr:col>10</xdr:col>
      <xdr:colOff>428624</xdr:colOff>
      <xdr:row>214</xdr:row>
      <xdr:rowOff>11906</xdr:rowOff>
    </xdr:from>
    <xdr:to>
      <xdr:col>10</xdr:col>
      <xdr:colOff>669287</xdr:colOff>
      <xdr:row>215</xdr:row>
      <xdr:rowOff>0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6649" y="25862756"/>
          <a:ext cx="240663" cy="178594"/>
        </a:xfrm>
        <a:prstGeom prst="rect">
          <a:avLst/>
        </a:prstGeom>
      </xdr:spPr>
    </xdr:pic>
    <xdr:clientData/>
  </xdr:twoCellAnchor>
  <xdr:twoCellAnchor>
    <xdr:from>
      <xdr:col>10</xdr:col>
      <xdr:colOff>354806</xdr:colOff>
      <xdr:row>211</xdr:row>
      <xdr:rowOff>45243</xdr:rowOff>
    </xdr:from>
    <xdr:to>
      <xdr:col>10</xdr:col>
      <xdr:colOff>595469</xdr:colOff>
      <xdr:row>212</xdr:row>
      <xdr:rowOff>33337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1837" y="42002868"/>
          <a:ext cx="240663" cy="190500"/>
        </a:xfrm>
        <a:prstGeom prst="rect">
          <a:avLst/>
        </a:prstGeom>
      </xdr:spPr>
    </xdr:pic>
    <xdr:clientData/>
  </xdr:twoCellAnchor>
  <xdr:twoCellAnchor>
    <xdr:from>
      <xdr:col>4</xdr:col>
      <xdr:colOff>173830</xdr:colOff>
      <xdr:row>390</xdr:row>
      <xdr:rowOff>4763</xdr:rowOff>
    </xdr:from>
    <xdr:to>
      <xdr:col>4</xdr:col>
      <xdr:colOff>781050</xdr:colOff>
      <xdr:row>391</xdr:row>
      <xdr:rowOff>119063</xdr:rowOff>
    </xdr:to>
    <xdr:sp macro="" textlink="">
      <xdr:nvSpPr>
        <xdr:cNvPr id="10" name="Seta para a direita 9"/>
        <xdr:cNvSpPr/>
      </xdr:nvSpPr>
      <xdr:spPr>
        <a:xfrm>
          <a:off x="4257674" y="76740544"/>
          <a:ext cx="607220" cy="364332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219086</xdr:colOff>
      <xdr:row>382</xdr:row>
      <xdr:rowOff>59536</xdr:rowOff>
    </xdr:from>
    <xdr:to>
      <xdr:col>4</xdr:col>
      <xdr:colOff>798311</xdr:colOff>
      <xdr:row>383</xdr:row>
      <xdr:rowOff>175036</xdr:rowOff>
    </xdr:to>
    <xdr:sp macro="" textlink="">
      <xdr:nvSpPr>
        <xdr:cNvPr id="11" name="Seta para a direita 10"/>
        <xdr:cNvSpPr/>
      </xdr:nvSpPr>
      <xdr:spPr>
        <a:xfrm>
          <a:off x="4302930" y="75080817"/>
          <a:ext cx="579225" cy="3655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416718</xdr:colOff>
      <xdr:row>223</xdr:row>
      <xdr:rowOff>0</xdr:rowOff>
    </xdr:from>
    <xdr:to>
      <xdr:col>13</xdr:col>
      <xdr:colOff>640450</xdr:colOff>
      <xdr:row>223</xdr:row>
      <xdr:rowOff>178593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218" y="42338625"/>
          <a:ext cx="223732" cy="178593"/>
        </a:xfrm>
        <a:prstGeom prst="rect">
          <a:avLst/>
        </a:prstGeom>
      </xdr:spPr>
    </xdr:pic>
    <xdr:clientData/>
  </xdr:twoCellAnchor>
  <xdr:twoCellAnchor>
    <xdr:from>
      <xdr:col>13</xdr:col>
      <xdr:colOff>438150</xdr:colOff>
      <xdr:row>226</xdr:row>
      <xdr:rowOff>9526</xdr:rowOff>
    </xdr:from>
    <xdr:to>
      <xdr:col>13</xdr:col>
      <xdr:colOff>661882</xdr:colOff>
      <xdr:row>226</xdr:row>
      <xdr:rowOff>200025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1650" y="42955370"/>
          <a:ext cx="223732" cy="190499"/>
        </a:xfrm>
        <a:prstGeom prst="rect">
          <a:avLst/>
        </a:prstGeom>
      </xdr:spPr>
    </xdr:pic>
    <xdr:clientData/>
  </xdr:twoCellAnchor>
  <xdr:twoCellAnchor>
    <xdr:from>
      <xdr:col>5</xdr:col>
      <xdr:colOff>309563</xdr:colOff>
      <xdr:row>144</xdr:row>
      <xdr:rowOff>23813</xdr:rowOff>
    </xdr:from>
    <xdr:to>
      <xdr:col>5</xdr:col>
      <xdr:colOff>550226</xdr:colOff>
      <xdr:row>145</xdr:row>
      <xdr:rowOff>3247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6" y="26515219"/>
          <a:ext cx="240663" cy="181841"/>
        </a:xfrm>
        <a:prstGeom prst="rect">
          <a:avLst/>
        </a:prstGeom>
      </xdr:spPr>
    </xdr:pic>
    <xdr:clientData/>
  </xdr:twoCellAnchor>
  <xdr:twoCellAnchor>
    <xdr:from>
      <xdr:col>7</xdr:col>
      <xdr:colOff>280339</xdr:colOff>
      <xdr:row>144</xdr:row>
      <xdr:rowOff>0</xdr:rowOff>
    </xdr:from>
    <xdr:to>
      <xdr:col>7</xdr:col>
      <xdr:colOff>481521</xdr:colOff>
      <xdr:row>145</xdr:row>
      <xdr:rowOff>-1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277" y="26491406"/>
          <a:ext cx="201182" cy="202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297656</xdr:colOff>
      <xdr:row>155</xdr:row>
      <xdr:rowOff>47624</xdr:rowOff>
    </xdr:from>
    <xdr:to>
      <xdr:col>7</xdr:col>
      <xdr:colOff>536560</xdr:colOff>
      <xdr:row>156</xdr:row>
      <xdr:rowOff>83343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2" y="29027437"/>
          <a:ext cx="238904" cy="226219"/>
        </a:xfrm>
        <a:prstGeom prst="rect">
          <a:avLst/>
        </a:prstGeom>
        <a:solidFill>
          <a:srgbClr val="FF0000"/>
        </a:solidFill>
        <a:ln>
          <a:noFill/>
        </a:ln>
      </xdr:spPr>
    </xdr:pic>
    <xdr:clientData/>
  </xdr:twoCellAnchor>
  <xdr:twoCellAnchor>
    <xdr:from>
      <xdr:col>9</xdr:col>
      <xdr:colOff>250032</xdr:colOff>
      <xdr:row>155</xdr:row>
      <xdr:rowOff>83343</xdr:rowOff>
    </xdr:from>
    <xdr:to>
      <xdr:col>9</xdr:col>
      <xdr:colOff>522784</xdr:colOff>
      <xdr:row>156</xdr:row>
      <xdr:rowOff>95250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470" y="29063156"/>
          <a:ext cx="272752" cy="20240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9</xdr:col>
      <xdr:colOff>392907</xdr:colOff>
      <xdr:row>278</xdr:row>
      <xdr:rowOff>11908</xdr:rowOff>
    </xdr:from>
    <xdr:to>
      <xdr:col>9</xdr:col>
      <xdr:colOff>588671</xdr:colOff>
      <xdr:row>278</xdr:row>
      <xdr:rowOff>178593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9438" y="47660721"/>
          <a:ext cx="195764" cy="166685"/>
        </a:xfrm>
        <a:prstGeom prst="rect">
          <a:avLst/>
        </a:prstGeom>
      </xdr:spPr>
    </xdr:pic>
    <xdr:clientData/>
  </xdr:twoCellAnchor>
  <xdr:twoCellAnchor>
    <xdr:from>
      <xdr:col>10</xdr:col>
      <xdr:colOff>333375</xdr:colOff>
      <xdr:row>439</xdr:row>
      <xdr:rowOff>11908</xdr:rowOff>
    </xdr:from>
    <xdr:to>
      <xdr:col>10</xdr:col>
      <xdr:colOff>542193</xdr:colOff>
      <xdr:row>439</xdr:row>
      <xdr:rowOff>178596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1700" y="13937458"/>
          <a:ext cx="208818" cy="166688"/>
        </a:xfrm>
        <a:prstGeom prst="rect">
          <a:avLst/>
        </a:prstGeom>
      </xdr:spPr>
    </xdr:pic>
    <xdr:clientData/>
  </xdr:twoCellAnchor>
  <xdr:twoCellAnchor>
    <xdr:from>
      <xdr:col>10</xdr:col>
      <xdr:colOff>402431</xdr:colOff>
      <xdr:row>449</xdr:row>
      <xdr:rowOff>33340</xdr:rowOff>
    </xdr:from>
    <xdr:to>
      <xdr:col>10</xdr:col>
      <xdr:colOff>583406</xdr:colOff>
      <xdr:row>449</xdr:row>
      <xdr:rowOff>177802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306" y="76864371"/>
          <a:ext cx="180975" cy="144462"/>
        </a:xfrm>
        <a:prstGeom prst="rect">
          <a:avLst/>
        </a:prstGeom>
      </xdr:spPr>
    </xdr:pic>
    <xdr:clientData/>
  </xdr:twoCellAnchor>
  <xdr:twoCellAnchor>
    <xdr:from>
      <xdr:col>10</xdr:col>
      <xdr:colOff>416719</xdr:colOff>
      <xdr:row>460</xdr:row>
      <xdr:rowOff>47626</xdr:rowOff>
    </xdr:from>
    <xdr:to>
      <xdr:col>10</xdr:col>
      <xdr:colOff>617901</xdr:colOff>
      <xdr:row>460</xdr:row>
      <xdr:rowOff>238126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594" y="78986064"/>
          <a:ext cx="201182" cy="190500"/>
        </a:xfrm>
        <a:prstGeom prst="rect">
          <a:avLst/>
        </a:prstGeom>
      </xdr:spPr>
    </xdr:pic>
    <xdr:clientData/>
  </xdr:twoCellAnchor>
  <xdr:twoCellAnchor>
    <xdr:from>
      <xdr:col>9</xdr:col>
      <xdr:colOff>345282</xdr:colOff>
      <xdr:row>288</xdr:row>
      <xdr:rowOff>166687</xdr:rowOff>
    </xdr:from>
    <xdr:to>
      <xdr:col>9</xdr:col>
      <xdr:colOff>547688</xdr:colOff>
      <xdr:row>289</xdr:row>
      <xdr:rowOff>167845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813" y="49839562"/>
          <a:ext cx="202406" cy="203564"/>
        </a:xfrm>
        <a:prstGeom prst="rect">
          <a:avLst/>
        </a:prstGeom>
      </xdr:spPr>
    </xdr:pic>
    <xdr:clientData/>
  </xdr:twoCellAnchor>
  <xdr:twoCellAnchor>
    <xdr:from>
      <xdr:col>9</xdr:col>
      <xdr:colOff>414338</xdr:colOff>
      <xdr:row>292</xdr:row>
      <xdr:rowOff>164306</xdr:rowOff>
    </xdr:from>
    <xdr:to>
      <xdr:col>9</xdr:col>
      <xdr:colOff>616744</xdr:colOff>
      <xdr:row>293</xdr:row>
      <xdr:rowOff>165464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0307" y="48658462"/>
          <a:ext cx="202406" cy="191658"/>
        </a:xfrm>
        <a:prstGeom prst="rect">
          <a:avLst/>
        </a:prstGeom>
      </xdr:spPr>
    </xdr:pic>
    <xdr:clientData/>
  </xdr:twoCellAnchor>
  <xdr:twoCellAnchor>
    <xdr:from>
      <xdr:col>10</xdr:col>
      <xdr:colOff>388144</xdr:colOff>
      <xdr:row>454</xdr:row>
      <xdr:rowOff>19052</xdr:rowOff>
    </xdr:from>
    <xdr:to>
      <xdr:col>10</xdr:col>
      <xdr:colOff>569119</xdr:colOff>
      <xdr:row>454</xdr:row>
      <xdr:rowOff>163514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9019" y="77814490"/>
          <a:ext cx="180975" cy="144462"/>
        </a:xfrm>
        <a:prstGeom prst="rect">
          <a:avLst/>
        </a:prstGeom>
      </xdr:spPr>
    </xdr:pic>
    <xdr:clientData/>
  </xdr:twoCellAnchor>
  <xdr:twoCellAnchor>
    <xdr:from>
      <xdr:col>10</xdr:col>
      <xdr:colOff>421481</xdr:colOff>
      <xdr:row>458</xdr:row>
      <xdr:rowOff>28576</xdr:rowOff>
    </xdr:from>
    <xdr:to>
      <xdr:col>10</xdr:col>
      <xdr:colOff>602456</xdr:colOff>
      <xdr:row>458</xdr:row>
      <xdr:rowOff>173038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356" y="78586014"/>
          <a:ext cx="180975" cy="144462"/>
        </a:xfrm>
        <a:prstGeom prst="rect">
          <a:avLst/>
        </a:prstGeom>
      </xdr:spPr>
    </xdr:pic>
    <xdr:clientData/>
  </xdr:twoCellAnchor>
  <xdr:twoCellAnchor>
    <xdr:from>
      <xdr:col>12</xdr:col>
      <xdr:colOff>321469</xdr:colOff>
      <xdr:row>461</xdr:row>
      <xdr:rowOff>178595</xdr:rowOff>
    </xdr:from>
    <xdr:to>
      <xdr:col>12</xdr:col>
      <xdr:colOff>522651</xdr:colOff>
      <xdr:row>462</xdr:row>
      <xdr:rowOff>178595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8813" y="79378970"/>
          <a:ext cx="201182" cy="190500"/>
        </a:xfrm>
        <a:prstGeom prst="rect">
          <a:avLst/>
        </a:prstGeom>
      </xdr:spPr>
    </xdr:pic>
    <xdr:clientData/>
  </xdr:twoCellAnchor>
  <xdr:twoCellAnchor>
    <xdr:from>
      <xdr:col>12</xdr:col>
      <xdr:colOff>330994</xdr:colOff>
      <xdr:row>463</xdr:row>
      <xdr:rowOff>9526</xdr:rowOff>
    </xdr:from>
    <xdr:to>
      <xdr:col>12</xdr:col>
      <xdr:colOff>532176</xdr:colOff>
      <xdr:row>464</xdr:row>
      <xdr:rowOff>9526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8338" y="79590901"/>
          <a:ext cx="201182" cy="190500"/>
        </a:xfrm>
        <a:prstGeom prst="rect">
          <a:avLst/>
        </a:prstGeom>
      </xdr:spPr>
    </xdr:pic>
    <xdr:clientData/>
  </xdr:twoCellAnchor>
  <xdr:twoCellAnchor>
    <xdr:from>
      <xdr:col>10</xdr:col>
      <xdr:colOff>416719</xdr:colOff>
      <xdr:row>462</xdr:row>
      <xdr:rowOff>0</xdr:rowOff>
    </xdr:from>
    <xdr:to>
      <xdr:col>10</xdr:col>
      <xdr:colOff>657382</xdr:colOff>
      <xdr:row>462</xdr:row>
      <xdr:rowOff>178594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1438" y="79390875"/>
          <a:ext cx="240663" cy="178594"/>
        </a:xfrm>
        <a:prstGeom prst="rect">
          <a:avLst/>
        </a:prstGeom>
      </xdr:spPr>
    </xdr:pic>
    <xdr:clientData/>
  </xdr:twoCellAnchor>
  <xdr:twoCellAnchor>
    <xdr:from>
      <xdr:col>10</xdr:col>
      <xdr:colOff>414338</xdr:colOff>
      <xdr:row>463</xdr:row>
      <xdr:rowOff>9525</xdr:rowOff>
    </xdr:from>
    <xdr:to>
      <xdr:col>10</xdr:col>
      <xdr:colOff>655001</xdr:colOff>
      <xdr:row>463</xdr:row>
      <xdr:rowOff>188119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9057" y="79590900"/>
          <a:ext cx="240663" cy="178594"/>
        </a:xfrm>
        <a:prstGeom prst="rect">
          <a:avLst/>
        </a:prstGeom>
      </xdr:spPr>
    </xdr:pic>
    <xdr:clientData/>
  </xdr:twoCellAnchor>
  <xdr:twoCellAnchor>
    <xdr:from>
      <xdr:col>7</xdr:col>
      <xdr:colOff>273844</xdr:colOff>
      <xdr:row>492</xdr:row>
      <xdr:rowOff>95250</xdr:rowOff>
    </xdr:from>
    <xdr:to>
      <xdr:col>7</xdr:col>
      <xdr:colOff>562640</xdr:colOff>
      <xdr:row>493</xdr:row>
      <xdr:rowOff>119063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91963875"/>
          <a:ext cx="288796" cy="226219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492</xdr:row>
      <xdr:rowOff>119063</xdr:rowOff>
    </xdr:from>
    <xdr:to>
      <xdr:col>3</xdr:col>
      <xdr:colOff>842857</xdr:colOff>
      <xdr:row>493</xdr:row>
      <xdr:rowOff>107156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406" y="91987688"/>
          <a:ext cx="223732" cy="190499"/>
        </a:xfrm>
        <a:prstGeom prst="rect">
          <a:avLst/>
        </a:prstGeom>
      </xdr:spPr>
    </xdr:pic>
    <xdr:clientData/>
  </xdr:twoCellAnchor>
  <xdr:twoCellAnchor>
    <xdr:from>
      <xdr:col>5</xdr:col>
      <xdr:colOff>283369</xdr:colOff>
      <xdr:row>492</xdr:row>
      <xdr:rowOff>128588</xdr:rowOff>
    </xdr:from>
    <xdr:to>
      <xdr:col>5</xdr:col>
      <xdr:colOff>507101</xdr:colOff>
      <xdr:row>493</xdr:row>
      <xdr:rowOff>116681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6963" y="91997213"/>
          <a:ext cx="223732" cy="190499"/>
        </a:xfrm>
        <a:prstGeom prst="rect">
          <a:avLst/>
        </a:prstGeom>
      </xdr:spPr>
    </xdr:pic>
    <xdr:clientData/>
  </xdr:twoCellAnchor>
  <xdr:twoCellAnchor>
    <xdr:from>
      <xdr:col>5</xdr:col>
      <xdr:colOff>307180</xdr:colOff>
      <xdr:row>497</xdr:row>
      <xdr:rowOff>92870</xdr:rowOff>
    </xdr:from>
    <xdr:to>
      <xdr:col>5</xdr:col>
      <xdr:colOff>523875</xdr:colOff>
      <xdr:row>498</xdr:row>
      <xdr:rowOff>60205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4" y="93402151"/>
          <a:ext cx="216695" cy="169742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476251</xdr:colOff>
      <xdr:row>497</xdr:row>
      <xdr:rowOff>95250</xdr:rowOff>
    </xdr:from>
    <xdr:to>
      <xdr:col>3</xdr:col>
      <xdr:colOff>773907</xdr:colOff>
      <xdr:row>498</xdr:row>
      <xdr:rowOff>6357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532" y="93404531"/>
          <a:ext cx="297656" cy="113513"/>
        </a:xfrm>
        <a:prstGeom prst="rect">
          <a:avLst/>
        </a:prstGeom>
      </xdr:spPr>
    </xdr:pic>
    <xdr:clientData/>
  </xdr:twoCellAnchor>
  <xdr:twoCellAnchor>
    <xdr:from>
      <xdr:col>5</xdr:col>
      <xdr:colOff>333375</xdr:colOff>
      <xdr:row>421</xdr:row>
      <xdr:rowOff>0</xdr:rowOff>
    </xdr:from>
    <xdr:to>
      <xdr:col>5</xdr:col>
      <xdr:colOff>574038</xdr:colOff>
      <xdr:row>421</xdr:row>
      <xdr:rowOff>178594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5969" y="75854719"/>
          <a:ext cx="240663" cy="178594"/>
        </a:xfrm>
        <a:prstGeom prst="rect">
          <a:avLst/>
        </a:prstGeom>
      </xdr:spPr>
    </xdr:pic>
    <xdr:clientData/>
  </xdr:twoCellAnchor>
  <xdr:twoCellAnchor>
    <xdr:from>
      <xdr:col>7</xdr:col>
      <xdr:colOff>369094</xdr:colOff>
      <xdr:row>421</xdr:row>
      <xdr:rowOff>0</xdr:rowOff>
    </xdr:from>
    <xdr:to>
      <xdr:col>7</xdr:col>
      <xdr:colOff>570276</xdr:colOff>
      <xdr:row>422</xdr:row>
      <xdr:rowOff>0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9594" y="75854719"/>
          <a:ext cx="201182" cy="202406"/>
        </a:xfrm>
        <a:prstGeom prst="rect">
          <a:avLst/>
        </a:prstGeom>
      </xdr:spPr>
    </xdr:pic>
    <xdr:clientData/>
  </xdr:twoCellAnchor>
  <xdr:twoCellAnchor>
    <xdr:from>
      <xdr:col>7</xdr:col>
      <xdr:colOff>297656</xdr:colOff>
      <xdr:row>503</xdr:row>
      <xdr:rowOff>23813</xdr:rowOff>
    </xdr:from>
    <xdr:to>
      <xdr:col>7</xdr:col>
      <xdr:colOff>498838</xdr:colOff>
      <xdr:row>504</xdr:row>
      <xdr:rowOff>23813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437" y="94118907"/>
          <a:ext cx="201182" cy="202406"/>
        </a:xfrm>
        <a:prstGeom prst="rect">
          <a:avLst/>
        </a:prstGeom>
      </xdr:spPr>
    </xdr:pic>
    <xdr:clientData/>
  </xdr:twoCellAnchor>
  <xdr:twoCellAnchor>
    <xdr:from>
      <xdr:col>5</xdr:col>
      <xdr:colOff>321469</xdr:colOff>
      <xdr:row>503</xdr:row>
      <xdr:rowOff>35719</xdr:rowOff>
    </xdr:from>
    <xdr:to>
      <xdr:col>5</xdr:col>
      <xdr:colOff>538164</xdr:colOff>
      <xdr:row>504</xdr:row>
      <xdr:rowOff>3055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5063" y="94559438"/>
          <a:ext cx="216695" cy="169742"/>
        </a:xfrm>
        <a:prstGeom prst="rect">
          <a:avLst/>
        </a:prstGeom>
      </xdr:spPr>
    </xdr:pic>
    <xdr:clientData/>
  </xdr:twoCellAnchor>
  <xdr:twoCellAnchor>
    <xdr:from>
      <xdr:col>9</xdr:col>
      <xdr:colOff>369094</xdr:colOff>
      <xdr:row>286</xdr:row>
      <xdr:rowOff>35719</xdr:rowOff>
    </xdr:from>
    <xdr:to>
      <xdr:col>9</xdr:col>
      <xdr:colOff>564858</xdr:colOff>
      <xdr:row>286</xdr:row>
      <xdr:rowOff>202404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49303782"/>
          <a:ext cx="195764" cy="166685"/>
        </a:xfrm>
        <a:prstGeom prst="rect">
          <a:avLst/>
        </a:prstGeom>
      </xdr:spPr>
    </xdr:pic>
    <xdr:clientData/>
  </xdr:twoCellAnchor>
  <xdr:twoCellAnchor>
    <xdr:from>
      <xdr:col>9</xdr:col>
      <xdr:colOff>357188</xdr:colOff>
      <xdr:row>290</xdr:row>
      <xdr:rowOff>35718</xdr:rowOff>
    </xdr:from>
    <xdr:to>
      <xdr:col>9</xdr:col>
      <xdr:colOff>552952</xdr:colOff>
      <xdr:row>290</xdr:row>
      <xdr:rowOff>202403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3719" y="50113406"/>
          <a:ext cx="195764" cy="1666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321468</xdr:colOff>
      <xdr:row>189</xdr:row>
      <xdr:rowOff>178593</xdr:rowOff>
    </xdr:from>
    <xdr:to>
      <xdr:col>8</xdr:col>
      <xdr:colOff>570417</xdr:colOff>
      <xdr:row>191</xdr:row>
      <xdr:rowOff>25852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2031" y="38373843"/>
          <a:ext cx="248949" cy="252072"/>
        </a:xfrm>
        <a:prstGeom prst="rect">
          <a:avLst/>
        </a:prstGeom>
      </xdr:spPr>
    </xdr:pic>
    <xdr:clientData/>
  </xdr:twoCellAnchor>
  <xdr:twoCellAnchor>
    <xdr:from>
      <xdr:col>4</xdr:col>
      <xdr:colOff>238125</xdr:colOff>
      <xdr:row>190</xdr:row>
      <xdr:rowOff>23812</xdr:rowOff>
    </xdr:from>
    <xdr:to>
      <xdr:col>4</xdr:col>
      <xdr:colOff>465787</xdr:colOff>
      <xdr:row>191</xdr:row>
      <xdr:rowOff>6492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38421468"/>
          <a:ext cx="227662" cy="185087"/>
        </a:xfrm>
        <a:prstGeom prst="rect">
          <a:avLst/>
        </a:prstGeom>
      </xdr:spPr>
    </xdr:pic>
    <xdr:clientData/>
  </xdr:twoCellAnchor>
  <xdr:twoCellAnchor>
    <xdr:from>
      <xdr:col>8</xdr:col>
      <xdr:colOff>279255</xdr:colOff>
      <xdr:row>106</xdr:row>
      <xdr:rowOff>9742</xdr:rowOff>
    </xdr:from>
    <xdr:to>
      <xdr:col>8</xdr:col>
      <xdr:colOff>565005</xdr:colOff>
      <xdr:row>106</xdr:row>
      <xdr:rowOff>232618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630" y="20833773"/>
          <a:ext cx="285750" cy="222876"/>
        </a:xfrm>
        <a:prstGeom prst="rect">
          <a:avLst/>
        </a:prstGeom>
      </xdr:spPr>
    </xdr:pic>
    <xdr:clientData/>
  </xdr:twoCellAnchor>
  <xdr:twoCellAnchor>
    <xdr:from>
      <xdr:col>11</xdr:col>
      <xdr:colOff>355022</xdr:colOff>
      <xdr:row>106</xdr:row>
      <xdr:rowOff>4329</xdr:rowOff>
    </xdr:from>
    <xdr:to>
      <xdr:col>11</xdr:col>
      <xdr:colOff>643845</xdr:colOff>
      <xdr:row>106</xdr:row>
      <xdr:rowOff>229466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616" y="20828360"/>
          <a:ext cx="288823" cy="225137"/>
        </a:xfrm>
        <a:prstGeom prst="rect">
          <a:avLst/>
        </a:prstGeom>
      </xdr:spPr>
    </xdr:pic>
    <xdr:clientData/>
  </xdr:twoCellAnchor>
  <xdr:twoCellAnchor>
    <xdr:from>
      <xdr:col>11</xdr:col>
      <xdr:colOff>261937</xdr:colOff>
      <xdr:row>126</xdr:row>
      <xdr:rowOff>23812</xdr:rowOff>
    </xdr:from>
    <xdr:to>
      <xdr:col>11</xdr:col>
      <xdr:colOff>502600</xdr:colOff>
      <xdr:row>127</xdr:row>
      <xdr:rowOff>11906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9062" y="22824281"/>
          <a:ext cx="240663" cy="190500"/>
        </a:xfrm>
        <a:prstGeom prst="rect">
          <a:avLst/>
        </a:prstGeom>
      </xdr:spPr>
    </xdr:pic>
    <xdr:clientData/>
  </xdr:twoCellAnchor>
  <xdr:twoCellAnchor>
    <xdr:from>
      <xdr:col>9</xdr:col>
      <xdr:colOff>583408</xdr:colOff>
      <xdr:row>125</xdr:row>
      <xdr:rowOff>190502</xdr:rowOff>
    </xdr:from>
    <xdr:to>
      <xdr:col>9</xdr:col>
      <xdr:colOff>829868</xdr:colOff>
      <xdr:row>127</xdr:row>
      <xdr:rowOff>83346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2221" y="28063033"/>
          <a:ext cx="246460" cy="297657"/>
        </a:xfrm>
        <a:prstGeom prst="rect">
          <a:avLst/>
        </a:prstGeom>
      </xdr:spPr>
    </xdr:pic>
    <xdr:clientData/>
  </xdr:twoCellAnchor>
  <xdr:twoCellAnchor>
    <xdr:from>
      <xdr:col>11</xdr:col>
      <xdr:colOff>285751</xdr:colOff>
      <xdr:row>123</xdr:row>
      <xdr:rowOff>11907</xdr:rowOff>
    </xdr:from>
    <xdr:to>
      <xdr:col>11</xdr:col>
      <xdr:colOff>526414</xdr:colOff>
      <xdr:row>124</xdr:row>
      <xdr:rowOff>1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876" y="23419595"/>
          <a:ext cx="240663" cy="190500"/>
        </a:xfrm>
        <a:prstGeom prst="rect">
          <a:avLst/>
        </a:prstGeom>
      </xdr:spPr>
    </xdr:pic>
    <xdr:clientData/>
  </xdr:twoCellAnchor>
  <xdr:twoCellAnchor>
    <xdr:from>
      <xdr:col>9</xdr:col>
      <xdr:colOff>595313</xdr:colOff>
      <xdr:row>122</xdr:row>
      <xdr:rowOff>166688</xdr:rowOff>
    </xdr:from>
    <xdr:to>
      <xdr:col>9</xdr:col>
      <xdr:colOff>841773</xdr:colOff>
      <xdr:row>124</xdr:row>
      <xdr:rowOff>59532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6" y="27432001"/>
          <a:ext cx="246460" cy="297656"/>
        </a:xfrm>
        <a:prstGeom prst="rect">
          <a:avLst/>
        </a:prstGeom>
      </xdr:spPr>
    </xdr:pic>
    <xdr:clientData/>
  </xdr:twoCellAnchor>
  <xdr:twoCellAnchor>
    <xdr:from>
      <xdr:col>11</xdr:col>
      <xdr:colOff>354807</xdr:colOff>
      <xdr:row>120</xdr:row>
      <xdr:rowOff>9525</xdr:rowOff>
    </xdr:from>
    <xdr:to>
      <xdr:col>11</xdr:col>
      <xdr:colOff>595470</xdr:colOff>
      <xdr:row>120</xdr:row>
      <xdr:rowOff>200025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932" y="24024431"/>
          <a:ext cx="240663" cy="190500"/>
        </a:xfrm>
        <a:prstGeom prst="rect">
          <a:avLst/>
        </a:prstGeom>
      </xdr:spPr>
    </xdr:pic>
    <xdr:clientData/>
  </xdr:twoCellAnchor>
  <xdr:twoCellAnchor>
    <xdr:from>
      <xdr:col>9</xdr:col>
      <xdr:colOff>595312</xdr:colOff>
      <xdr:row>120</xdr:row>
      <xdr:rowOff>0</xdr:rowOff>
    </xdr:from>
    <xdr:to>
      <xdr:col>9</xdr:col>
      <xdr:colOff>841772</xdr:colOff>
      <xdr:row>121</xdr:row>
      <xdr:rowOff>47625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5" y="26860500"/>
          <a:ext cx="246460" cy="250031"/>
        </a:xfrm>
        <a:prstGeom prst="rect">
          <a:avLst/>
        </a:prstGeom>
      </xdr:spPr>
    </xdr:pic>
    <xdr:clientData/>
  </xdr:twoCellAnchor>
  <xdr:twoCellAnchor>
    <xdr:from>
      <xdr:col>8</xdr:col>
      <xdr:colOff>297657</xdr:colOff>
      <xdr:row>425</xdr:row>
      <xdr:rowOff>178596</xdr:rowOff>
    </xdr:from>
    <xdr:to>
      <xdr:col>8</xdr:col>
      <xdr:colOff>574284</xdr:colOff>
      <xdr:row>427</xdr:row>
      <xdr:rowOff>59534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9157" y="85284471"/>
          <a:ext cx="276627" cy="261938"/>
        </a:xfrm>
        <a:prstGeom prst="rect">
          <a:avLst/>
        </a:prstGeom>
      </xdr:spPr>
    </xdr:pic>
    <xdr:clientData/>
  </xdr:twoCellAnchor>
  <xdr:twoCellAnchor>
    <xdr:from>
      <xdr:col>4</xdr:col>
      <xdr:colOff>261938</xdr:colOff>
      <xdr:row>426</xdr:row>
      <xdr:rowOff>11907</xdr:rowOff>
    </xdr:from>
    <xdr:to>
      <xdr:col>4</xdr:col>
      <xdr:colOff>550734</xdr:colOff>
      <xdr:row>427</xdr:row>
      <xdr:rowOff>35720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2438" y="85308282"/>
          <a:ext cx="288796" cy="214313"/>
        </a:xfrm>
        <a:prstGeom prst="rect">
          <a:avLst/>
        </a:prstGeom>
      </xdr:spPr>
    </xdr:pic>
    <xdr:clientData/>
  </xdr:twoCellAnchor>
  <xdr:twoCellAnchor>
    <xdr:from>
      <xdr:col>13</xdr:col>
      <xdr:colOff>398320</xdr:colOff>
      <xdr:row>132</xdr:row>
      <xdr:rowOff>11907</xdr:rowOff>
    </xdr:from>
    <xdr:to>
      <xdr:col>13</xdr:col>
      <xdr:colOff>622052</xdr:colOff>
      <xdr:row>133</xdr:row>
      <xdr:rowOff>0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2383" y="25324595"/>
          <a:ext cx="223732" cy="190499"/>
        </a:xfrm>
        <a:prstGeom prst="rect">
          <a:avLst/>
        </a:prstGeom>
      </xdr:spPr>
    </xdr:pic>
    <xdr:clientData/>
  </xdr:twoCellAnchor>
  <xdr:twoCellAnchor>
    <xdr:from>
      <xdr:col>9</xdr:col>
      <xdr:colOff>628648</xdr:colOff>
      <xdr:row>168</xdr:row>
      <xdr:rowOff>140495</xdr:rowOff>
    </xdr:from>
    <xdr:to>
      <xdr:col>9</xdr:col>
      <xdr:colOff>869311</xdr:colOff>
      <xdr:row>169</xdr:row>
      <xdr:rowOff>9526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398" y="32954120"/>
          <a:ext cx="240663" cy="119062"/>
        </a:xfrm>
        <a:prstGeom prst="rect">
          <a:avLst/>
        </a:prstGeom>
      </xdr:spPr>
    </xdr:pic>
    <xdr:clientData/>
  </xdr:twoCellAnchor>
  <xdr:twoCellAnchor>
    <xdr:from>
      <xdr:col>12</xdr:col>
      <xdr:colOff>590547</xdr:colOff>
      <xdr:row>169</xdr:row>
      <xdr:rowOff>116680</xdr:rowOff>
    </xdr:from>
    <xdr:to>
      <xdr:col>12</xdr:col>
      <xdr:colOff>831210</xdr:colOff>
      <xdr:row>170</xdr:row>
      <xdr:rowOff>45244</xdr:rowOff>
    </xdr:to>
    <xdr:pic>
      <xdr:nvPicPr>
        <xdr:cNvPr id="45" name="Imagem 4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2703" y="33180336"/>
          <a:ext cx="240663" cy="166689"/>
        </a:xfrm>
        <a:prstGeom prst="rect">
          <a:avLst/>
        </a:prstGeom>
      </xdr:spPr>
    </xdr:pic>
    <xdr:clientData/>
  </xdr:twoCellAnchor>
  <xdr:twoCellAnchor>
    <xdr:from>
      <xdr:col>6</xdr:col>
      <xdr:colOff>726281</xdr:colOff>
      <xdr:row>167</xdr:row>
      <xdr:rowOff>190501</xdr:rowOff>
    </xdr:from>
    <xdr:to>
      <xdr:col>6</xdr:col>
      <xdr:colOff>966944</xdr:colOff>
      <xdr:row>168</xdr:row>
      <xdr:rowOff>59532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9844" y="34087595"/>
          <a:ext cx="240663" cy="130968"/>
        </a:xfrm>
        <a:prstGeom prst="rect">
          <a:avLst/>
        </a:prstGeom>
      </xdr:spPr>
    </xdr:pic>
    <xdr:clientData/>
  </xdr:twoCellAnchor>
  <xdr:twoCellAnchor>
    <xdr:from>
      <xdr:col>9</xdr:col>
      <xdr:colOff>619125</xdr:colOff>
      <xdr:row>164</xdr:row>
      <xdr:rowOff>130969</xdr:rowOff>
    </xdr:from>
    <xdr:to>
      <xdr:col>9</xdr:col>
      <xdr:colOff>865585</xdr:colOff>
      <xdr:row>165</xdr:row>
      <xdr:rowOff>130968</xdr:rowOff>
    </xdr:to>
    <xdr:pic>
      <xdr:nvPicPr>
        <xdr:cNvPr id="41" name="Imagem 4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31837313"/>
          <a:ext cx="246460" cy="226218"/>
        </a:xfrm>
        <a:prstGeom prst="rect">
          <a:avLst/>
        </a:prstGeom>
      </xdr:spPr>
    </xdr:pic>
    <xdr:clientData/>
  </xdr:twoCellAnchor>
  <xdr:twoCellAnchor>
    <xdr:from>
      <xdr:col>12</xdr:col>
      <xdr:colOff>642938</xdr:colOff>
      <xdr:row>165</xdr:row>
      <xdr:rowOff>154781</xdr:rowOff>
    </xdr:from>
    <xdr:to>
      <xdr:col>12</xdr:col>
      <xdr:colOff>889398</xdr:colOff>
      <xdr:row>166</xdr:row>
      <xdr:rowOff>130969</xdr:rowOff>
    </xdr:to>
    <xdr:pic>
      <xdr:nvPicPr>
        <xdr:cNvPr id="46" name="Imagem 4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1313" y="32087344"/>
          <a:ext cx="246460" cy="273844"/>
        </a:xfrm>
        <a:prstGeom prst="rect">
          <a:avLst/>
        </a:prstGeom>
      </xdr:spPr>
    </xdr:pic>
    <xdr:clientData/>
  </xdr:twoCellAnchor>
  <xdr:twoCellAnchor>
    <xdr:from>
      <xdr:col>15</xdr:col>
      <xdr:colOff>642937</xdr:colOff>
      <xdr:row>166</xdr:row>
      <xdr:rowOff>119062</xdr:rowOff>
    </xdr:from>
    <xdr:to>
      <xdr:col>15</xdr:col>
      <xdr:colOff>889397</xdr:colOff>
      <xdr:row>167</xdr:row>
      <xdr:rowOff>83343</xdr:rowOff>
    </xdr:to>
    <xdr:pic>
      <xdr:nvPicPr>
        <xdr:cNvPr id="47" name="Imagem 4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0718" y="32349281"/>
          <a:ext cx="246460" cy="261937"/>
        </a:xfrm>
        <a:prstGeom prst="rect">
          <a:avLst/>
        </a:prstGeom>
      </xdr:spPr>
    </xdr:pic>
    <xdr:clientData/>
  </xdr:twoCellAnchor>
  <xdr:twoCellAnchor>
    <xdr:from>
      <xdr:col>15</xdr:col>
      <xdr:colOff>619125</xdr:colOff>
      <xdr:row>170</xdr:row>
      <xdr:rowOff>142877</xdr:rowOff>
    </xdr:from>
    <xdr:to>
      <xdr:col>15</xdr:col>
      <xdr:colOff>859788</xdr:colOff>
      <xdr:row>171</xdr:row>
      <xdr:rowOff>69059</xdr:rowOff>
    </xdr:to>
    <xdr:pic>
      <xdr:nvPicPr>
        <xdr:cNvPr id="48" name="Imagem 4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0688" y="33444658"/>
          <a:ext cx="240663" cy="176214"/>
        </a:xfrm>
        <a:prstGeom prst="rect">
          <a:avLst/>
        </a:prstGeom>
      </xdr:spPr>
    </xdr:pic>
    <xdr:clientData/>
  </xdr:twoCellAnchor>
  <xdr:twoCellAnchor>
    <xdr:from>
      <xdr:col>6</xdr:col>
      <xdr:colOff>773907</xdr:colOff>
      <xdr:row>163</xdr:row>
      <xdr:rowOff>130968</xdr:rowOff>
    </xdr:from>
    <xdr:to>
      <xdr:col>6</xdr:col>
      <xdr:colOff>1020367</xdr:colOff>
      <xdr:row>164</xdr:row>
      <xdr:rowOff>130968</xdr:rowOff>
    </xdr:to>
    <xdr:pic>
      <xdr:nvPicPr>
        <xdr:cNvPr id="49" name="Imagem 4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7470" y="32980312"/>
          <a:ext cx="246460" cy="261937"/>
        </a:xfrm>
        <a:prstGeom prst="rect">
          <a:avLst/>
        </a:prstGeom>
      </xdr:spPr>
    </xdr:pic>
    <xdr:clientData/>
  </xdr:twoCellAnchor>
  <xdr:twoCellAnchor>
    <xdr:from>
      <xdr:col>4</xdr:col>
      <xdr:colOff>260855</xdr:colOff>
      <xdr:row>241</xdr:row>
      <xdr:rowOff>32472</xdr:rowOff>
    </xdr:from>
    <xdr:to>
      <xdr:col>4</xdr:col>
      <xdr:colOff>488517</xdr:colOff>
      <xdr:row>242</xdr:row>
      <xdr:rowOff>11907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2730" y="49157660"/>
          <a:ext cx="227662" cy="181841"/>
        </a:xfrm>
        <a:prstGeom prst="rect">
          <a:avLst/>
        </a:prstGeom>
      </xdr:spPr>
    </xdr:pic>
    <xdr:clientData/>
  </xdr:twoCellAnchor>
  <xdr:twoCellAnchor>
    <xdr:from>
      <xdr:col>8</xdr:col>
      <xdr:colOff>308481</xdr:colOff>
      <xdr:row>240</xdr:row>
      <xdr:rowOff>164522</xdr:rowOff>
    </xdr:from>
    <xdr:to>
      <xdr:col>8</xdr:col>
      <xdr:colOff>557430</xdr:colOff>
      <xdr:row>242</xdr:row>
      <xdr:rowOff>11782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9044" y="49087303"/>
          <a:ext cx="248949" cy="252073"/>
        </a:xfrm>
        <a:prstGeom prst="rect">
          <a:avLst/>
        </a:prstGeom>
      </xdr:spPr>
    </xdr:pic>
    <xdr:clientData/>
  </xdr:twoCellAnchor>
  <xdr:twoCellAnchor>
    <xdr:from>
      <xdr:col>4</xdr:col>
      <xdr:colOff>242454</xdr:colOff>
      <xdr:row>276</xdr:row>
      <xdr:rowOff>20565</xdr:rowOff>
    </xdr:from>
    <xdr:to>
      <xdr:col>4</xdr:col>
      <xdr:colOff>470116</xdr:colOff>
      <xdr:row>277</xdr:row>
      <xdr:rowOff>0</xdr:rowOff>
    </xdr:to>
    <xdr:pic>
      <xdr:nvPicPr>
        <xdr:cNvPr id="40" name="Imagem 3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4329" y="56634784"/>
          <a:ext cx="227662" cy="181841"/>
        </a:xfrm>
        <a:prstGeom prst="rect">
          <a:avLst/>
        </a:prstGeom>
      </xdr:spPr>
    </xdr:pic>
    <xdr:clientData/>
  </xdr:twoCellAnchor>
  <xdr:twoCellAnchor>
    <xdr:from>
      <xdr:col>8</xdr:col>
      <xdr:colOff>371259</xdr:colOff>
      <xdr:row>276</xdr:row>
      <xdr:rowOff>0</xdr:rowOff>
    </xdr:from>
    <xdr:to>
      <xdr:col>8</xdr:col>
      <xdr:colOff>620208</xdr:colOff>
      <xdr:row>277</xdr:row>
      <xdr:rowOff>49666</xdr:rowOff>
    </xdr:to>
    <xdr:pic>
      <xdr:nvPicPr>
        <xdr:cNvPr id="42" name="Imagem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822" y="56614219"/>
          <a:ext cx="248949" cy="252072"/>
        </a:xfrm>
        <a:prstGeom prst="rect">
          <a:avLst/>
        </a:prstGeom>
      </xdr:spPr>
    </xdr:pic>
    <xdr:clientData/>
  </xdr:twoCellAnchor>
  <xdr:twoCellAnchor>
    <xdr:from>
      <xdr:col>4</xdr:col>
      <xdr:colOff>228383</xdr:colOff>
      <xdr:row>311</xdr:row>
      <xdr:rowOff>5412</xdr:rowOff>
    </xdr:from>
    <xdr:to>
      <xdr:col>4</xdr:col>
      <xdr:colOff>456045</xdr:colOff>
      <xdr:row>311</xdr:row>
      <xdr:rowOff>190500</xdr:rowOff>
    </xdr:to>
    <xdr:pic>
      <xdr:nvPicPr>
        <xdr:cNvPr id="50" name="Imagem 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258" y="64108662"/>
          <a:ext cx="227662" cy="185088"/>
        </a:xfrm>
        <a:prstGeom prst="rect">
          <a:avLst/>
        </a:prstGeom>
      </xdr:spPr>
    </xdr:pic>
    <xdr:clientData/>
  </xdr:twoCellAnchor>
  <xdr:twoCellAnchor>
    <xdr:from>
      <xdr:col>8</xdr:col>
      <xdr:colOff>311728</xdr:colOff>
      <xdr:row>310</xdr:row>
      <xdr:rowOff>193747</xdr:rowOff>
    </xdr:from>
    <xdr:to>
      <xdr:col>8</xdr:col>
      <xdr:colOff>560677</xdr:colOff>
      <xdr:row>312</xdr:row>
      <xdr:rowOff>41007</xdr:rowOff>
    </xdr:to>
    <xdr:pic>
      <xdr:nvPicPr>
        <xdr:cNvPr id="51" name="Imagem 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2291" y="64094591"/>
          <a:ext cx="248949" cy="252072"/>
        </a:xfrm>
        <a:prstGeom prst="rect">
          <a:avLst/>
        </a:prstGeom>
      </xdr:spPr>
    </xdr:pic>
    <xdr:clientData/>
  </xdr:twoCellAnchor>
  <xdr:twoCellAnchor>
    <xdr:from>
      <xdr:col>13</xdr:col>
      <xdr:colOff>440531</xdr:colOff>
      <xdr:row>134</xdr:row>
      <xdr:rowOff>178594</xdr:rowOff>
    </xdr:from>
    <xdr:to>
      <xdr:col>13</xdr:col>
      <xdr:colOff>664263</xdr:colOff>
      <xdr:row>135</xdr:row>
      <xdr:rowOff>166687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594" y="25896094"/>
          <a:ext cx="223732" cy="190499"/>
        </a:xfrm>
        <a:prstGeom prst="rect">
          <a:avLst/>
        </a:prstGeom>
      </xdr:spPr>
    </xdr:pic>
    <xdr:clientData/>
  </xdr:twoCellAnchor>
  <xdr:twoCellAnchor>
    <xdr:from>
      <xdr:col>5</xdr:col>
      <xdr:colOff>371475</xdr:colOff>
      <xdr:row>489</xdr:row>
      <xdr:rowOff>38100</xdr:rowOff>
    </xdr:from>
    <xdr:to>
      <xdr:col>5</xdr:col>
      <xdr:colOff>529553</xdr:colOff>
      <xdr:row>489</xdr:row>
      <xdr:rowOff>161925</xdr:rowOff>
    </xdr:to>
    <xdr:pic>
      <xdr:nvPicPr>
        <xdr:cNvPr id="53" name="Imagem 5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6788" y="102217538"/>
          <a:ext cx="158078" cy="123825"/>
        </a:xfrm>
        <a:prstGeom prst="rect">
          <a:avLst/>
        </a:prstGeom>
      </xdr:spPr>
    </xdr:pic>
    <xdr:clientData/>
  </xdr:twoCellAnchor>
  <xdr:twoCellAnchor editAs="oneCell">
    <xdr:from>
      <xdr:col>3</xdr:col>
      <xdr:colOff>328613</xdr:colOff>
      <xdr:row>489</xdr:row>
      <xdr:rowOff>45245</xdr:rowOff>
    </xdr:from>
    <xdr:to>
      <xdr:col>3</xdr:col>
      <xdr:colOff>557213</xdr:colOff>
      <xdr:row>489</xdr:row>
      <xdr:rowOff>132423</xdr:rowOff>
    </xdr:to>
    <xdr:pic>
      <xdr:nvPicPr>
        <xdr:cNvPr id="54" name="Imagem 53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519" y="102224683"/>
          <a:ext cx="228600" cy="87178"/>
        </a:xfrm>
        <a:prstGeom prst="rect">
          <a:avLst/>
        </a:prstGeom>
      </xdr:spPr>
    </xdr:pic>
    <xdr:clientData/>
  </xdr:twoCellAnchor>
  <xdr:twoCellAnchor>
    <xdr:from>
      <xdr:col>2</xdr:col>
      <xdr:colOff>804863</xdr:colOff>
      <xdr:row>502</xdr:row>
      <xdr:rowOff>26195</xdr:rowOff>
    </xdr:from>
    <xdr:to>
      <xdr:col>2</xdr:col>
      <xdr:colOff>907714</xdr:colOff>
      <xdr:row>502</xdr:row>
      <xdr:rowOff>140495</xdr:rowOff>
    </xdr:to>
    <xdr:pic>
      <xdr:nvPicPr>
        <xdr:cNvPr id="59" name="Imagem 5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1" y="104884539"/>
          <a:ext cx="102851" cy="114300"/>
        </a:xfrm>
        <a:prstGeom prst="rect">
          <a:avLst/>
        </a:prstGeom>
      </xdr:spPr>
    </xdr:pic>
    <xdr:clientData/>
  </xdr:twoCellAnchor>
  <xdr:twoCellAnchor>
    <xdr:from>
      <xdr:col>2</xdr:col>
      <xdr:colOff>790576</xdr:colOff>
      <xdr:row>504</xdr:row>
      <xdr:rowOff>45245</xdr:rowOff>
    </xdr:from>
    <xdr:to>
      <xdr:col>2</xdr:col>
      <xdr:colOff>914401</xdr:colOff>
      <xdr:row>504</xdr:row>
      <xdr:rowOff>142239</xdr:rowOff>
    </xdr:to>
    <xdr:pic>
      <xdr:nvPicPr>
        <xdr:cNvPr id="60" name="Imagem 5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9764" y="105308401"/>
          <a:ext cx="123825" cy="96994"/>
        </a:xfrm>
        <a:prstGeom prst="rect">
          <a:avLst/>
        </a:prstGeom>
      </xdr:spPr>
    </xdr:pic>
    <xdr:clientData/>
  </xdr:twoCellAnchor>
  <xdr:twoCellAnchor>
    <xdr:from>
      <xdr:col>6</xdr:col>
      <xdr:colOff>878681</xdr:colOff>
      <xdr:row>502</xdr:row>
      <xdr:rowOff>78582</xdr:rowOff>
    </xdr:from>
    <xdr:to>
      <xdr:col>6</xdr:col>
      <xdr:colOff>981532</xdr:colOff>
      <xdr:row>502</xdr:row>
      <xdr:rowOff>192882</xdr:rowOff>
    </xdr:to>
    <xdr:pic>
      <xdr:nvPicPr>
        <xdr:cNvPr id="61" name="Imagem 60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2212" y="105496520"/>
          <a:ext cx="102851" cy="114300"/>
        </a:xfrm>
        <a:prstGeom prst="rect">
          <a:avLst/>
        </a:prstGeom>
      </xdr:spPr>
    </xdr:pic>
    <xdr:clientData/>
  </xdr:twoCellAnchor>
  <xdr:twoCellAnchor>
    <xdr:from>
      <xdr:col>6</xdr:col>
      <xdr:colOff>864394</xdr:colOff>
      <xdr:row>504</xdr:row>
      <xdr:rowOff>80963</xdr:rowOff>
    </xdr:from>
    <xdr:to>
      <xdr:col>6</xdr:col>
      <xdr:colOff>988219</xdr:colOff>
      <xdr:row>504</xdr:row>
      <xdr:rowOff>177957</xdr:rowOff>
    </xdr:to>
    <xdr:pic>
      <xdr:nvPicPr>
        <xdr:cNvPr id="62" name="Imagem 6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05903713"/>
          <a:ext cx="123825" cy="96994"/>
        </a:xfrm>
        <a:prstGeom prst="rect">
          <a:avLst/>
        </a:prstGeom>
      </xdr:spPr>
    </xdr:pic>
    <xdr:clientData/>
  </xdr:twoCellAnchor>
  <xdr:twoCellAnchor>
    <xdr:from>
      <xdr:col>5</xdr:col>
      <xdr:colOff>359568</xdr:colOff>
      <xdr:row>501</xdr:row>
      <xdr:rowOff>78581</xdr:rowOff>
    </xdr:from>
    <xdr:to>
      <xdr:col>5</xdr:col>
      <xdr:colOff>483393</xdr:colOff>
      <xdr:row>501</xdr:row>
      <xdr:rowOff>175575</xdr:rowOff>
    </xdr:to>
    <xdr:pic>
      <xdr:nvPicPr>
        <xdr:cNvPr id="63" name="Imagem 62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4881" y="105294112"/>
          <a:ext cx="123825" cy="96994"/>
        </a:xfrm>
        <a:prstGeom prst="rect">
          <a:avLst/>
        </a:prstGeom>
      </xdr:spPr>
    </xdr:pic>
    <xdr:clientData/>
  </xdr:twoCellAnchor>
  <xdr:twoCellAnchor>
    <xdr:from>
      <xdr:col>5</xdr:col>
      <xdr:colOff>383381</xdr:colOff>
      <xdr:row>503</xdr:row>
      <xdr:rowOff>66675</xdr:rowOff>
    </xdr:from>
    <xdr:to>
      <xdr:col>5</xdr:col>
      <xdr:colOff>507206</xdr:colOff>
      <xdr:row>503</xdr:row>
      <xdr:rowOff>163669</xdr:rowOff>
    </xdr:to>
    <xdr:pic>
      <xdr:nvPicPr>
        <xdr:cNvPr id="64" name="Imagem 63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8694" y="105687019"/>
          <a:ext cx="123825" cy="96994"/>
        </a:xfrm>
        <a:prstGeom prst="rect">
          <a:avLst/>
        </a:prstGeom>
      </xdr:spPr>
    </xdr:pic>
    <xdr:clientData/>
  </xdr:twoCellAnchor>
  <xdr:twoCellAnchor>
    <xdr:from>
      <xdr:col>5</xdr:col>
      <xdr:colOff>383381</xdr:colOff>
      <xdr:row>505</xdr:row>
      <xdr:rowOff>50006</xdr:rowOff>
    </xdr:from>
    <xdr:to>
      <xdr:col>5</xdr:col>
      <xdr:colOff>507206</xdr:colOff>
      <xdr:row>505</xdr:row>
      <xdr:rowOff>147000</xdr:rowOff>
    </xdr:to>
    <xdr:pic>
      <xdr:nvPicPr>
        <xdr:cNvPr id="65" name="Imagem 64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8694" y="106075162"/>
          <a:ext cx="123825" cy="96994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501</xdr:row>
      <xdr:rowOff>45245</xdr:rowOff>
    </xdr:from>
    <xdr:to>
      <xdr:col>3</xdr:col>
      <xdr:colOff>495300</xdr:colOff>
      <xdr:row>501</xdr:row>
      <xdr:rowOff>165455</xdr:rowOff>
    </xdr:to>
    <xdr:pic>
      <xdr:nvPicPr>
        <xdr:cNvPr id="66" name="Imagem 65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0856" y="105260776"/>
          <a:ext cx="133350" cy="120210"/>
        </a:xfrm>
        <a:prstGeom prst="rect">
          <a:avLst/>
        </a:prstGeom>
      </xdr:spPr>
    </xdr:pic>
    <xdr:clientData/>
  </xdr:twoCellAnchor>
  <xdr:twoCellAnchor>
    <xdr:from>
      <xdr:col>3</xdr:col>
      <xdr:colOff>350044</xdr:colOff>
      <xdr:row>503</xdr:row>
      <xdr:rowOff>45244</xdr:rowOff>
    </xdr:from>
    <xdr:to>
      <xdr:col>3</xdr:col>
      <xdr:colOff>483394</xdr:colOff>
      <xdr:row>503</xdr:row>
      <xdr:rowOff>165454</xdr:rowOff>
    </xdr:to>
    <xdr:pic>
      <xdr:nvPicPr>
        <xdr:cNvPr id="67" name="Imagem 66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105665588"/>
          <a:ext cx="133350" cy="120210"/>
        </a:xfrm>
        <a:prstGeom prst="rect">
          <a:avLst/>
        </a:prstGeom>
      </xdr:spPr>
    </xdr:pic>
    <xdr:clientData/>
  </xdr:twoCellAnchor>
  <xdr:twoCellAnchor>
    <xdr:from>
      <xdr:col>3</xdr:col>
      <xdr:colOff>335757</xdr:colOff>
      <xdr:row>505</xdr:row>
      <xdr:rowOff>14287</xdr:rowOff>
    </xdr:from>
    <xdr:to>
      <xdr:col>3</xdr:col>
      <xdr:colOff>469107</xdr:colOff>
      <xdr:row>505</xdr:row>
      <xdr:rowOff>134497</xdr:rowOff>
    </xdr:to>
    <xdr:pic>
      <xdr:nvPicPr>
        <xdr:cNvPr id="68" name="Imagem 67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663" y="106039443"/>
          <a:ext cx="133350" cy="120210"/>
        </a:xfrm>
        <a:prstGeom prst="rect">
          <a:avLst/>
        </a:prstGeom>
      </xdr:spPr>
    </xdr:pic>
    <xdr:clientData/>
  </xdr:twoCellAnchor>
  <xdr:twoCellAnchor>
    <xdr:from>
      <xdr:col>7</xdr:col>
      <xdr:colOff>452438</xdr:colOff>
      <xdr:row>502</xdr:row>
      <xdr:rowOff>59531</xdr:rowOff>
    </xdr:from>
    <xdr:to>
      <xdr:col>7</xdr:col>
      <xdr:colOff>555289</xdr:colOff>
      <xdr:row>502</xdr:row>
      <xdr:rowOff>173831</xdr:rowOff>
    </xdr:to>
    <xdr:pic>
      <xdr:nvPicPr>
        <xdr:cNvPr id="69" name="Imagem 6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4" y="104917875"/>
          <a:ext cx="102851" cy="114300"/>
        </a:xfrm>
        <a:prstGeom prst="rect">
          <a:avLst/>
        </a:prstGeom>
      </xdr:spPr>
    </xdr:pic>
    <xdr:clientData/>
  </xdr:twoCellAnchor>
  <xdr:twoCellAnchor>
    <xdr:from>
      <xdr:col>7</xdr:col>
      <xdr:colOff>452438</xdr:colOff>
      <xdr:row>504</xdr:row>
      <xdr:rowOff>59531</xdr:rowOff>
    </xdr:from>
    <xdr:to>
      <xdr:col>7</xdr:col>
      <xdr:colOff>576263</xdr:colOff>
      <xdr:row>504</xdr:row>
      <xdr:rowOff>156525</xdr:rowOff>
    </xdr:to>
    <xdr:pic>
      <xdr:nvPicPr>
        <xdr:cNvPr id="70" name="Imagem 6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4" y="105322687"/>
          <a:ext cx="123825" cy="96994"/>
        </a:xfrm>
        <a:prstGeom prst="rect">
          <a:avLst/>
        </a:prstGeom>
      </xdr:spPr>
    </xdr:pic>
    <xdr:clientData/>
  </xdr:twoCellAnchor>
  <xdr:twoCellAnchor>
    <xdr:from>
      <xdr:col>3</xdr:col>
      <xdr:colOff>297656</xdr:colOff>
      <xdr:row>494</xdr:row>
      <xdr:rowOff>11906</xdr:rowOff>
    </xdr:from>
    <xdr:to>
      <xdr:col>3</xdr:col>
      <xdr:colOff>469106</xdr:colOff>
      <xdr:row>495</xdr:row>
      <xdr:rowOff>2416</xdr:rowOff>
    </xdr:to>
    <xdr:pic>
      <xdr:nvPicPr>
        <xdr:cNvPr id="72" name="Imagem 7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2" y="103203375"/>
          <a:ext cx="171450" cy="192916"/>
        </a:xfrm>
        <a:prstGeom prst="rect">
          <a:avLst/>
        </a:prstGeom>
      </xdr:spPr>
    </xdr:pic>
    <xdr:clientData/>
  </xdr:twoCellAnchor>
  <xdr:twoCellAnchor>
    <xdr:from>
      <xdr:col>5</xdr:col>
      <xdr:colOff>309563</xdr:colOff>
      <xdr:row>494</xdr:row>
      <xdr:rowOff>47625</xdr:rowOff>
    </xdr:from>
    <xdr:to>
      <xdr:col>5</xdr:col>
      <xdr:colOff>479800</xdr:colOff>
      <xdr:row>494</xdr:row>
      <xdr:rowOff>180974</xdr:rowOff>
    </xdr:to>
    <xdr:pic>
      <xdr:nvPicPr>
        <xdr:cNvPr id="73" name="Imagem 7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6" y="103239094"/>
          <a:ext cx="170237" cy="133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173831</xdr:colOff>
      <xdr:row>283</xdr:row>
      <xdr:rowOff>28575</xdr:rowOff>
    </xdr:from>
    <xdr:to>
      <xdr:col>4</xdr:col>
      <xdr:colOff>850106</xdr:colOff>
      <xdr:row>284</xdr:row>
      <xdr:rowOff>76200</xdr:rowOff>
    </xdr:to>
    <xdr:sp macro="" textlink="">
      <xdr:nvSpPr>
        <xdr:cNvPr id="11" name="Seta para a direita 10"/>
        <xdr:cNvSpPr/>
      </xdr:nvSpPr>
      <xdr:spPr>
        <a:xfrm>
          <a:off x="4055269" y="50546794"/>
          <a:ext cx="676275" cy="238125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195262</xdr:colOff>
      <xdr:row>276</xdr:row>
      <xdr:rowOff>73819</xdr:rowOff>
    </xdr:from>
    <xdr:to>
      <xdr:col>4</xdr:col>
      <xdr:colOff>871537</xdr:colOff>
      <xdr:row>277</xdr:row>
      <xdr:rowOff>121444</xdr:rowOff>
    </xdr:to>
    <xdr:sp macro="" textlink="">
      <xdr:nvSpPr>
        <xdr:cNvPr id="8" name="Seta para a direita 7"/>
        <xdr:cNvSpPr/>
      </xdr:nvSpPr>
      <xdr:spPr>
        <a:xfrm>
          <a:off x="4076700" y="49068038"/>
          <a:ext cx="67627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523874</xdr:colOff>
      <xdr:row>172</xdr:row>
      <xdr:rowOff>0</xdr:rowOff>
    </xdr:from>
    <xdr:to>
      <xdr:col>3</xdr:col>
      <xdr:colOff>731045</xdr:colOff>
      <xdr:row>173</xdr:row>
      <xdr:rowOff>27783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7" y="36421219"/>
          <a:ext cx="207171" cy="230189"/>
        </a:xfrm>
        <a:prstGeom prst="rect">
          <a:avLst/>
        </a:prstGeom>
      </xdr:spPr>
    </xdr:pic>
    <xdr:clientData/>
  </xdr:twoCellAnchor>
  <xdr:twoCellAnchor>
    <xdr:from>
      <xdr:col>4</xdr:col>
      <xdr:colOff>500062</xdr:colOff>
      <xdr:row>171</xdr:row>
      <xdr:rowOff>190500</xdr:rowOff>
    </xdr:from>
    <xdr:to>
      <xdr:col>4</xdr:col>
      <xdr:colOff>707233</xdr:colOff>
      <xdr:row>173</xdr:row>
      <xdr:rowOff>15877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36409313"/>
          <a:ext cx="207171" cy="230189"/>
        </a:xfrm>
        <a:prstGeom prst="rect">
          <a:avLst/>
        </a:prstGeom>
      </xdr:spPr>
    </xdr:pic>
    <xdr:clientData/>
  </xdr:twoCellAnchor>
  <xdr:twoCellAnchor>
    <xdr:from>
      <xdr:col>5</xdr:col>
      <xdr:colOff>523875</xdr:colOff>
      <xdr:row>171</xdr:row>
      <xdr:rowOff>190500</xdr:rowOff>
    </xdr:from>
    <xdr:to>
      <xdr:col>5</xdr:col>
      <xdr:colOff>731046</xdr:colOff>
      <xdr:row>173</xdr:row>
      <xdr:rowOff>15877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6409313"/>
          <a:ext cx="207171" cy="230189"/>
        </a:xfrm>
        <a:prstGeom prst="rect">
          <a:avLst/>
        </a:prstGeom>
      </xdr:spPr>
    </xdr:pic>
    <xdr:clientData/>
  </xdr:twoCellAnchor>
  <xdr:twoCellAnchor>
    <xdr:from>
      <xdr:col>3</xdr:col>
      <xdr:colOff>500063</xdr:colOff>
      <xdr:row>177</xdr:row>
      <xdr:rowOff>47625</xdr:rowOff>
    </xdr:from>
    <xdr:to>
      <xdr:col>3</xdr:col>
      <xdr:colOff>708634</xdr:colOff>
      <xdr:row>177</xdr:row>
      <xdr:rowOff>202405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6" y="37480875"/>
          <a:ext cx="208571" cy="154780"/>
        </a:xfrm>
        <a:prstGeom prst="rect">
          <a:avLst/>
        </a:prstGeom>
      </xdr:spPr>
    </xdr:pic>
    <xdr:clientData/>
  </xdr:twoCellAnchor>
  <xdr:twoCellAnchor>
    <xdr:from>
      <xdr:col>4</xdr:col>
      <xdr:colOff>464344</xdr:colOff>
      <xdr:row>177</xdr:row>
      <xdr:rowOff>35719</xdr:rowOff>
    </xdr:from>
    <xdr:to>
      <xdr:col>4</xdr:col>
      <xdr:colOff>672915</xdr:colOff>
      <xdr:row>177</xdr:row>
      <xdr:rowOff>190499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5282" y="37468969"/>
          <a:ext cx="208571" cy="154780"/>
        </a:xfrm>
        <a:prstGeom prst="rect">
          <a:avLst/>
        </a:prstGeom>
      </xdr:spPr>
    </xdr:pic>
    <xdr:clientData/>
  </xdr:twoCellAnchor>
  <xdr:twoCellAnchor>
    <xdr:from>
      <xdr:col>5</xdr:col>
      <xdr:colOff>511968</xdr:colOff>
      <xdr:row>177</xdr:row>
      <xdr:rowOff>47625</xdr:rowOff>
    </xdr:from>
    <xdr:to>
      <xdr:col>5</xdr:col>
      <xdr:colOff>720539</xdr:colOff>
      <xdr:row>177</xdr:row>
      <xdr:rowOff>202405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9718" y="37480875"/>
          <a:ext cx="208571" cy="154780"/>
        </a:xfrm>
        <a:prstGeom prst="rect">
          <a:avLst/>
        </a:prstGeom>
      </xdr:spPr>
    </xdr:pic>
    <xdr:clientData/>
  </xdr:twoCellAnchor>
  <xdr:twoCellAnchor>
    <xdr:from>
      <xdr:col>2</xdr:col>
      <xdr:colOff>392906</xdr:colOff>
      <xdr:row>171</xdr:row>
      <xdr:rowOff>130969</xdr:rowOff>
    </xdr:from>
    <xdr:to>
      <xdr:col>2</xdr:col>
      <xdr:colOff>1012032</xdr:colOff>
      <xdr:row>178</xdr:row>
      <xdr:rowOff>11907</xdr:rowOff>
    </xdr:to>
    <xdr:cxnSp macro="">
      <xdr:nvCxnSpPr>
        <xdr:cNvPr id="3" name="Conector de seta reta 2"/>
        <xdr:cNvCxnSpPr/>
      </xdr:nvCxnSpPr>
      <xdr:spPr>
        <a:xfrm>
          <a:off x="1690687" y="36349782"/>
          <a:ext cx="619126" cy="1297781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jurossobrejurosdatp.com.b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5.7109375" customWidth="1"/>
    <col min="11" max="11" width="10.7109375" customWidth="1"/>
    <col min="12" max="12" width="14.42578125" customWidth="1"/>
    <col min="14" max="14" width="30.7109375" customWidth="1"/>
  </cols>
  <sheetData>
    <row r="1" spans="1:14" s="43" customFormat="1" ht="30" customHeight="1" x14ac:dyDescent="0.25">
      <c r="A1" s="377" t="s">
        <v>348</v>
      </c>
    </row>
    <row r="2" spans="1:14" s="43" customFormat="1" ht="15.95" customHeight="1" x14ac:dyDescent="0.25"/>
    <row r="3" spans="1:14" s="43" customFormat="1" ht="15.95" customHeight="1" x14ac:dyDescent="0.25">
      <c r="A3" s="111" t="s">
        <v>97</v>
      </c>
    </row>
    <row r="4" spans="1:14" s="43" customFormat="1" ht="15.95" customHeight="1" x14ac:dyDescent="0.25">
      <c r="A4" s="111" t="s">
        <v>96</v>
      </c>
    </row>
    <row r="5" spans="1:14" s="43" customFormat="1" ht="15.95" customHeight="1" x14ac:dyDescent="0.25">
      <c r="A5" s="112" t="s">
        <v>959</v>
      </c>
      <c r="B5" s="113"/>
      <c r="C5" s="113"/>
      <c r="D5" s="113"/>
      <c r="E5" s="113"/>
    </row>
    <row r="6" spans="1:14" s="43" customFormat="1" ht="15.95" customHeight="1" x14ac:dyDescent="0.25"/>
    <row r="7" spans="1:14" s="43" customFormat="1" ht="15.95" customHeight="1" x14ac:dyDescent="0.25">
      <c r="A7" s="477" t="s">
        <v>354</v>
      </c>
      <c r="B7" s="478"/>
      <c r="C7" s="478"/>
      <c r="D7" s="478"/>
      <c r="E7" s="478"/>
      <c r="F7" s="478"/>
      <c r="G7" s="478"/>
      <c r="H7" s="478"/>
      <c r="I7" s="479"/>
    </row>
    <row r="8" spans="1:14" s="43" customFormat="1" ht="15.95" customHeight="1" x14ac:dyDescent="0.25">
      <c r="A8" s="111" t="s">
        <v>355</v>
      </c>
      <c r="E8" s="111" t="s">
        <v>357</v>
      </c>
    </row>
    <row r="9" spans="1:14" s="43" customFormat="1" ht="15.95" customHeight="1" x14ac:dyDescent="0.25">
      <c r="A9" s="111" t="s">
        <v>356</v>
      </c>
      <c r="E9" s="111" t="s">
        <v>358</v>
      </c>
    </row>
    <row r="10" spans="1:14" s="43" customFormat="1" ht="15.95" customHeight="1" x14ac:dyDescent="0.25">
      <c r="E10" s="111" t="s">
        <v>960</v>
      </c>
    </row>
    <row r="11" spans="1:14" s="43" customFormat="1" ht="15.95" customHeight="1" x14ac:dyDescent="0.25">
      <c r="N11" s="238"/>
    </row>
    <row r="12" spans="1:14" s="43" customFormat="1" ht="24.95" customHeight="1" x14ac:dyDescent="0.25">
      <c r="A12" s="378" t="s">
        <v>353</v>
      </c>
    </row>
    <row r="13" spans="1:14" s="43" customFormat="1" ht="15.95" customHeight="1" x14ac:dyDescent="0.25">
      <c r="B13" s="114" t="s">
        <v>185</v>
      </c>
      <c r="C13" s="114"/>
      <c r="D13" s="114"/>
    </row>
    <row r="14" spans="1:14" s="43" customFormat="1" ht="15.95" customHeight="1" x14ac:dyDescent="0.25">
      <c r="B14" s="335" t="s">
        <v>624</v>
      </c>
      <c r="C14" s="114"/>
      <c r="D14" s="114"/>
      <c r="I14" s="449" t="s">
        <v>96</v>
      </c>
    </row>
    <row r="15" spans="1:14" s="43" customFormat="1" ht="15.95" customHeight="1" x14ac:dyDescent="0.25">
      <c r="B15" s="114" t="s">
        <v>216</v>
      </c>
      <c r="C15" s="114"/>
      <c r="D15" s="114"/>
    </row>
    <row r="16" spans="1:14" s="43" customFormat="1" ht="15.95" customHeight="1" x14ac:dyDescent="0.25">
      <c r="B16" s="114" t="s">
        <v>312</v>
      </c>
      <c r="C16" s="114"/>
      <c r="D16" s="114"/>
    </row>
    <row r="17" spans="1:15" s="43" customFormat="1" ht="15.95" customHeight="1" x14ac:dyDescent="0.25">
      <c r="N17" s="238"/>
    </row>
    <row r="18" spans="1:15" s="43" customFormat="1" ht="24.95" customHeight="1" x14ac:dyDescent="0.25">
      <c r="A18" s="378" t="s">
        <v>930</v>
      </c>
    </row>
    <row r="19" spans="1:15" s="43" customFormat="1" ht="15.95" customHeight="1" x14ac:dyDescent="0.25">
      <c r="B19" s="114" t="s">
        <v>310</v>
      </c>
      <c r="C19" s="114"/>
      <c r="D19" s="114"/>
    </row>
    <row r="20" spans="1:15" s="43" customFormat="1" ht="15.95" customHeight="1" x14ac:dyDescent="0.25">
      <c r="B20" s="114" t="s">
        <v>182</v>
      </c>
      <c r="C20" s="114"/>
      <c r="D20" s="114"/>
    </row>
    <row r="21" spans="1:15" s="43" customFormat="1" ht="15.95" customHeight="1" x14ac:dyDescent="0.25">
      <c r="B21" s="114" t="s">
        <v>37</v>
      </c>
      <c r="C21" s="114"/>
      <c r="D21" s="114"/>
    </row>
    <row r="22" spans="1:15" s="43" customFormat="1" ht="15.95" customHeight="1" x14ac:dyDescent="0.25">
      <c r="B22" s="114" t="s">
        <v>88</v>
      </c>
      <c r="C22" s="114"/>
      <c r="D22" s="114"/>
    </row>
    <row r="23" spans="1:15" s="43" customFormat="1" ht="15.95" customHeight="1" x14ac:dyDescent="0.25">
      <c r="B23" s="115" t="s">
        <v>370</v>
      </c>
    </row>
    <row r="24" spans="1:15" s="43" customFormat="1" ht="15.95" customHeight="1" x14ac:dyDescent="0.25">
      <c r="B24" s="115" t="s">
        <v>371</v>
      </c>
    </row>
    <row r="25" spans="1:15" s="43" customFormat="1" ht="15.95" customHeight="1" x14ac:dyDescent="0.25">
      <c r="B25" s="115" t="s">
        <v>928</v>
      </c>
    </row>
    <row r="26" spans="1:15" s="43" customFormat="1" ht="15.95" customHeight="1" x14ac:dyDescent="0.25">
      <c r="B26" s="115" t="s">
        <v>929</v>
      </c>
    </row>
    <row r="27" spans="1:15" s="43" customFormat="1" ht="15.95" customHeight="1" x14ac:dyDescent="0.25">
      <c r="B27" s="115"/>
    </row>
    <row r="28" spans="1:15" s="43" customFormat="1" ht="15.95" customHeight="1" x14ac:dyDescent="0.25">
      <c r="B28" s="115" t="s">
        <v>625</v>
      </c>
    </row>
    <row r="29" spans="1:15" s="43" customFormat="1" ht="15.95" customHeight="1" x14ac:dyDescent="0.25">
      <c r="B29" s="115" t="s">
        <v>221</v>
      </c>
    </row>
    <row r="30" spans="1:15" s="43" customFormat="1" ht="15.95" customHeight="1" x14ac:dyDescent="0.25"/>
    <row r="31" spans="1:15" s="43" customFormat="1" ht="15.95" customHeight="1" x14ac:dyDescent="0.25">
      <c r="B31" s="115" t="s">
        <v>225</v>
      </c>
      <c r="L31" s="116" t="s">
        <v>222</v>
      </c>
      <c r="M31" s="117" t="s">
        <v>223</v>
      </c>
      <c r="N31" s="116" t="s">
        <v>227</v>
      </c>
      <c r="O31" s="43" t="s">
        <v>224</v>
      </c>
    </row>
    <row r="32" spans="1:15" s="43" customFormat="1" ht="15.95" customHeight="1" x14ac:dyDescent="0.25">
      <c r="B32" s="115" t="s">
        <v>226</v>
      </c>
    </row>
    <row r="33" spans="2:2" s="43" customFormat="1" ht="15.95" customHeight="1" x14ac:dyDescent="0.25">
      <c r="B33" s="115" t="s">
        <v>228</v>
      </c>
    </row>
    <row r="34" spans="2:2" s="43" customFormat="1" ht="15.95" customHeight="1" x14ac:dyDescent="0.25">
      <c r="B34" s="115" t="s">
        <v>311</v>
      </c>
    </row>
    <row r="35" spans="2:2" s="43" customFormat="1" ht="15.95" customHeight="1" x14ac:dyDescent="0.25">
      <c r="B35" s="115"/>
    </row>
    <row r="36" spans="2:2" s="43" customFormat="1" ht="15.95" customHeight="1" x14ac:dyDescent="0.25">
      <c r="B36" s="115" t="s">
        <v>372</v>
      </c>
    </row>
    <row r="37" spans="2:2" s="43" customFormat="1" ht="15.95" customHeight="1" x14ac:dyDescent="0.25"/>
    <row r="38" spans="2:2" s="43" customFormat="1" ht="15.95" customHeight="1" x14ac:dyDescent="0.25"/>
    <row r="39" spans="2:2" s="43" customFormat="1" ht="15.95" customHeight="1" x14ac:dyDescent="0.25"/>
    <row r="40" spans="2:2" s="43" customFormat="1" ht="15.95" customHeight="1" x14ac:dyDescent="0.25"/>
    <row r="41" spans="2:2" s="43" customFormat="1" ht="15.95" customHeight="1" x14ac:dyDescent="0.25"/>
    <row r="42" spans="2:2" s="43" customFormat="1" ht="15.95" customHeight="1" x14ac:dyDescent="0.25"/>
    <row r="43" spans="2:2" s="43" customFormat="1" ht="15.95" customHeight="1" x14ac:dyDescent="0.25"/>
    <row r="44" spans="2:2" s="43" customFormat="1" ht="15.95" customHeight="1" x14ac:dyDescent="0.25"/>
    <row r="45" spans="2:2" s="43" customFormat="1" ht="15.95" customHeight="1" x14ac:dyDescent="0.25"/>
    <row r="46" spans="2:2" s="43" customFormat="1" ht="15.95" customHeight="1" x14ac:dyDescent="0.25"/>
    <row r="47" spans="2:2" s="43" customFormat="1" ht="15.95" customHeight="1" x14ac:dyDescent="0.25"/>
    <row r="48" spans="2:2" s="43" customFormat="1" ht="15.95" customHeight="1" x14ac:dyDescent="0.25"/>
    <row r="49" s="43" customFormat="1" ht="15.95" customHeight="1" x14ac:dyDescent="0.25"/>
    <row r="50" s="43" customFormat="1" ht="15.95" customHeight="1" x14ac:dyDescent="0.25"/>
    <row r="51" s="43" customFormat="1" ht="15.95" customHeight="1" x14ac:dyDescent="0.25"/>
    <row r="52" s="43" customFormat="1" ht="15.95" customHeight="1" x14ac:dyDescent="0.25"/>
    <row r="53" s="43" customFormat="1" ht="15.95" customHeight="1" x14ac:dyDescent="0.25"/>
  </sheetData>
  <sheetProtection password="C6BE" sheet="1" objects="1" scenarios="1" formatColumns="0"/>
  <mergeCells count="1">
    <mergeCell ref="A7:I7"/>
  </mergeCells>
  <hyperlinks>
    <hyperlink ref="I14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453"/>
  <sheetViews>
    <sheetView zoomScale="80" zoomScaleNormal="80" workbookViewId="0">
      <selection activeCell="A2" sqref="A2"/>
    </sheetView>
  </sheetViews>
  <sheetFormatPr defaultRowHeight="15" x14ac:dyDescent="0.25"/>
  <cols>
    <col min="1" max="1" width="5.7109375" style="12" customWidth="1"/>
    <col min="2" max="2" width="12.42578125" style="12" customWidth="1"/>
    <col min="3" max="3" width="22.7109375" style="12" customWidth="1"/>
    <col min="4" max="4" width="20.28515625" style="12" customWidth="1"/>
    <col min="5" max="5" width="15.140625" style="12" customWidth="1"/>
    <col min="6" max="6" width="19.28515625" style="12" customWidth="1"/>
    <col min="7" max="7" width="20.5703125" style="12" customWidth="1"/>
    <col min="8" max="8" width="15.85546875" style="12" customWidth="1"/>
    <col min="9" max="9" width="14.140625" style="12" customWidth="1"/>
    <col min="10" max="10" width="13.28515625" style="12" customWidth="1"/>
    <col min="11" max="11" width="17.5703125" style="12" customWidth="1"/>
    <col min="12" max="12" width="12.85546875" style="12" customWidth="1"/>
    <col min="13" max="13" width="11.5703125" style="12" customWidth="1"/>
    <col min="14" max="14" width="16.85546875" style="12" customWidth="1"/>
    <col min="15" max="15" width="17.7109375" style="12" customWidth="1"/>
    <col min="16" max="16" width="10.28515625" style="12" customWidth="1"/>
    <col min="17" max="17" width="10" style="12" customWidth="1"/>
    <col min="18" max="18" width="10.85546875" style="12" customWidth="1"/>
    <col min="19" max="19" width="8.7109375" style="12" customWidth="1"/>
    <col min="20" max="20" width="12.85546875" style="12" customWidth="1"/>
    <col min="21" max="21" width="13.28515625" style="12" customWidth="1"/>
    <col min="22" max="22" width="12.140625" style="12" customWidth="1"/>
    <col min="23" max="23" width="12.42578125" style="12" customWidth="1"/>
    <col min="24" max="24" width="16.42578125" style="12" customWidth="1"/>
    <col min="25" max="25" width="13.140625" style="12" customWidth="1"/>
    <col min="26" max="16384" width="9.140625" style="12"/>
  </cols>
  <sheetData>
    <row r="1" spans="1:3" s="38" customFormat="1" ht="30" customHeight="1" x14ac:dyDescent="0.25">
      <c r="A1" s="377" t="s">
        <v>349</v>
      </c>
    </row>
    <row r="2" spans="1:3" s="38" customFormat="1" ht="15.95" customHeight="1" x14ac:dyDescent="0.25">
      <c r="C2" s="420" t="s">
        <v>860</v>
      </c>
    </row>
    <row r="3" spans="1:3" s="38" customFormat="1" ht="15.95" customHeight="1" x14ac:dyDescent="0.25">
      <c r="C3" s="451" t="s">
        <v>359</v>
      </c>
    </row>
    <row r="4" spans="1:3" s="38" customFormat="1" ht="15.95" customHeight="1" x14ac:dyDescent="0.25">
      <c r="C4" s="452" t="s">
        <v>360</v>
      </c>
    </row>
    <row r="5" spans="1:3" s="38" customFormat="1" ht="15.95" customHeight="1" x14ac:dyDescent="0.25">
      <c r="C5" s="452" t="s">
        <v>739</v>
      </c>
    </row>
    <row r="6" spans="1:3" s="38" customFormat="1" ht="15.95" customHeight="1" x14ac:dyDescent="0.25">
      <c r="C6" s="452" t="s">
        <v>915</v>
      </c>
    </row>
    <row r="7" spans="1:3" s="38" customFormat="1" ht="15.95" customHeight="1" x14ac:dyDescent="0.25">
      <c r="C7" s="452" t="s">
        <v>734</v>
      </c>
    </row>
    <row r="8" spans="1:3" s="38" customFormat="1" ht="15.95" customHeight="1" x14ac:dyDescent="0.25">
      <c r="C8" s="452" t="s">
        <v>735</v>
      </c>
    </row>
    <row r="9" spans="1:3" s="38" customFormat="1" ht="15.95" customHeight="1" x14ac:dyDescent="0.25">
      <c r="C9" s="452" t="s">
        <v>733</v>
      </c>
    </row>
    <row r="10" spans="1:3" s="38" customFormat="1" ht="15.95" customHeight="1" x14ac:dyDescent="0.25">
      <c r="C10" s="421"/>
    </row>
    <row r="11" spans="1:3" s="38" customFormat="1" ht="15.95" customHeight="1" x14ac:dyDescent="0.25">
      <c r="C11" s="451" t="s">
        <v>741</v>
      </c>
    </row>
    <row r="12" spans="1:3" s="38" customFormat="1" ht="15.95" customHeight="1" x14ac:dyDescent="0.25">
      <c r="C12" s="452" t="s">
        <v>738</v>
      </c>
    </row>
    <row r="13" spans="1:3" s="38" customFormat="1" ht="15.95" customHeight="1" x14ac:dyDescent="0.25">
      <c r="C13" s="452" t="s">
        <v>861</v>
      </c>
    </row>
    <row r="14" spans="1:3" s="38" customFormat="1" ht="15.95" customHeight="1" x14ac:dyDescent="0.25">
      <c r="C14" s="421"/>
    </row>
    <row r="15" spans="1:3" s="38" customFormat="1" ht="15.95" customHeight="1" x14ac:dyDescent="0.25">
      <c r="C15" s="451" t="s">
        <v>458</v>
      </c>
    </row>
    <row r="16" spans="1:3" s="38" customFormat="1" ht="15.95" customHeight="1" x14ac:dyDescent="0.25">
      <c r="C16" s="452" t="s">
        <v>459</v>
      </c>
    </row>
    <row r="17" spans="1:14" s="38" customFormat="1" ht="15.95" customHeight="1" x14ac:dyDescent="0.25">
      <c r="C17" s="452" t="s">
        <v>530</v>
      </c>
    </row>
    <row r="18" spans="1:14" s="38" customFormat="1" ht="15.95" customHeight="1" x14ac:dyDescent="0.25">
      <c r="C18" s="452" t="s">
        <v>923</v>
      </c>
    </row>
    <row r="19" spans="1:14" s="38" customFormat="1" ht="15.95" customHeight="1" x14ac:dyDescent="0.25">
      <c r="C19" s="421"/>
    </row>
    <row r="20" spans="1:14" s="38" customFormat="1" ht="15.95" customHeight="1" x14ac:dyDescent="0.25">
      <c r="C20" s="451" t="s">
        <v>863</v>
      </c>
    </row>
    <row r="21" spans="1:14" s="119" customFormat="1" ht="15.95" customHeight="1" thickBot="1" x14ac:dyDescent="0.3"/>
    <row r="22" spans="1:14" s="119" customFormat="1" ht="15.95" customHeight="1" x14ac:dyDescent="0.25">
      <c r="A22" s="39"/>
      <c r="B22" s="511" t="s">
        <v>742</v>
      </c>
      <c r="C22" s="512"/>
      <c r="D22" s="512"/>
      <c r="E22" s="512"/>
      <c r="F22" s="512"/>
      <c r="G22" s="512"/>
      <c r="H22" s="513"/>
    </row>
    <row r="23" spans="1:14" s="119" customFormat="1" ht="15.95" customHeight="1" x14ac:dyDescent="0.25">
      <c r="A23" s="39"/>
      <c r="B23" s="514"/>
      <c r="C23" s="515"/>
      <c r="D23" s="515"/>
      <c r="E23" s="515"/>
      <c r="F23" s="515"/>
      <c r="G23" s="515"/>
      <c r="H23" s="516"/>
    </row>
    <row r="24" spans="1:14" s="119" customFormat="1" ht="15.95" customHeight="1" x14ac:dyDescent="0.25">
      <c r="A24" s="39"/>
      <c r="B24" s="514"/>
      <c r="C24" s="515"/>
      <c r="D24" s="515"/>
      <c r="E24" s="515"/>
      <c r="F24" s="515"/>
      <c r="G24" s="515"/>
      <c r="H24" s="516"/>
    </row>
    <row r="25" spans="1:14" s="119" customFormat="1" ht="15.95" customHeight="1" thickBot="1" x14ac:dyDescent="0.3">
      <c r="A25" s="39"/>
      <c r="B25" s="517"/>
      <c r="C25" s="518"/>
      <c r="D25" s="518"/>
      <c r="E25" s="518"/>
      <c r="F25" s="518"/>
      <c r="G25" s="518"/>
      <c r="H25" s="519"/>
    </row>
    <row r="26" spans="1:14" s="119" customFormat="1" ht="15.95" customHeight="1" x14ac:dyDescent="0.25">
      <c r="A26" s="39"/>
    </row>
    <row r="27" spans="1:14" s="119" customFormat="1" ht="15.95" customHeight="1" x14ac:dyDescent="0.25">
      <c r="A27" s="118"/>
      <c r="B27" s="119" t="s">
        <v>302</v>
      </c>
    </row>
    <row r="28" spans="1:14" s="119" customFormat="1" ht="15.95" customHeight="1" x14ac:dyDescent="0.25">
      <c r="A28" s="118"/>
      <c r="B28" s="77" t="s">
        <v>303</v>
      </c>
    </row>
    <row r="29" spans="1:14" s="119" customFormat="1" ht="15.95" customHeight="1" x14ac:dyDescent="0.25">
      <c r="A29" s="39"/>
    </row>
    <row r="30" spans="1:14" s="43" customFormat="1" ht="24.95" customHeight="1" x14ac:dyDescent="0.25">
      <c r="A30" s="378" t="s">
        <v>359</v>
      </c>
    </row>
    <row r="31" spans="1:14" s="38" customFormat="1" ht="15.95" customHeight="1" x14ac:dyDescent="0.25"/>
    <row r="32" spans="1:14" s="109" customFormat="1" ht="24.95" customHeight="1" x14ac:dyDescent="0.25">
      <c r="A32" s="380" t="s">
        <v>360</v>
      </c>
      <c r="H32" s="56"/>
      <c r="I32" s="56"/>
      <c r="J32" s="56"/>
      <c r="K32" s="56"/>
      <c r="L32" s="56"/>
      <c r="M32" s="56"/>
      <c r="N32" s="56"/>
    </row>
    <row r="33" spans="1:6" s="38" customFormat="1" ht="15.95" customHeight="1" x14ac:dyDescent="0.25"/>
    <row r="34" spans="1:6" s="109" customFormat="1" ht="24.95" customHeight="1" x14ac:dyDescent="0.25">
      <c r="B34" s="390" t="s">
        <v>27</v>
      </c>
    </row>
    <row r="35" spans="1:6" s="38" customFormat="1" ht="15.95" customHeight="1" x14ac:dyDescent="0.25">
      <c r="B35" s="500" t="s">
        <v>0</v>
      </c>
      <c r="C35" s="500"/>
      <c r="D35" s="387" t="s">
        <v>1</v>
      </c>
      <c r="E35" s="126">
        <f>'Os juros sobre juros'!$E$31</f>
        <v>7076.02</v>
      </c>
    </row>
    <row r="36" spans="1:6" s="38" customFormat="1" ht="15.95" customHeight="1" x14ac:dyDescent="0.25">
      <c r="B36" s="500" t="s">
        <v>2</v>
      </c>
      <c r="C36" s="500"/>
      <c r="D36" s="387" t="s">
        <v>3</v>
      </c>
      <c r="E36" s="127">
        <f>'Os juros sobre juros'!$E$32</f>
        <v>3.1600000000000003E-2</v>
      </c>
    </row>
    <row r="37" spans="1:6" s="38" customFormat="1" ht="15.95" customHeight="1" x14ac:dyDescent="0.25">
      <c r="B37" s="500" t="s">
        <v>4</v>
      </c>
      <c r="C37" s="500"/>
      <c r="D37" s="387" t="s">
        <v>5</v>
      </c>
      <c r="E37" s="128">
        <f>'Os juros sobre juros'!$E$33</f>
        <v>36</v>
      </c>
    </row>
    <row r="38" spans="1:6" s="38" customFormat="1" ht="15.95" customHeight="1" x14ac:dyDescent="0.25">
      <c r="B38" s="500" t="s">
        <v>304</v>
      </c>
      <c r="C38" s="500"/>
      <c r="D38" s="387" t="s">
        <v>6</v>
      </c>
      <c r="E38" s="126">
        <f>'Os juros sobre juros'!$E$35</f>
        <v>331.83</v>
      </c>
    </row>
    <row r="39" spans="1:6" s="38" customFormat="1" ht="15.95" customHeight="1" x14ac:dyDescent="0.25">
      <c r="B39" s="500" t="s">
        <v>7</v>
      </c>
      <c r="C39" s="500"/>
      <c r="D39" s="387" t="s">
        <v>8</v>
      </c>
      <c r="E39" s="127">
        <f>'Os juros sobre juros'!$E$36</f>
        <v>0.37919999999999998</v>
      </c>
    </row>
    <row r="40" spans="1:6" s="38" customFormat="1" ht="15.95" customHeight="1" x14ac:dyDescent="0.25">
      <c r="B40" s="500" t="s">
        <v>9</v>
      </c>
      <c r="C40" s="500"/>
      <c r="D40" s="387" t="s">
        <v>10</v>
      </c>
      <c r="E40" s="127">
        <f>'Os juros sobre juros'!$E$37</f>
        <v>0.45256600000000002</v>
      </c>
    </row>
    <row r="41" spans="1:6" s="38" customFormat="1" ht="15.95" customHeight="1" x14ac:dyDescent="0.25"/>
    <row r="42" spans="1:6" s="38" customFormat="1" ht="24.95" customHeight="1" x14ac:dyDescent="0.25">
      <c r="B42" s="390" t="s">
        <v>32</v>
      </c>
      <c r="E42" s="395" t="s">
        <v>532</v>
      </c>
      <c r="F42" s="394"/>
    </row>
    <row r="43" spans="1:6" s="38" customFormat="1" ht="15.95" customHeight="1" x14ac:dyDescent="0.25">
      <c r="B43" s="123" t="s">
        <v>14</v>
      </c>
      <c r="C43" s="124"/>
      <c r="D43" s="125">
        <f>'Os juros sobre juros'!$E$46</f>
        <v>331.89250191718025</v>
      </c>
      <c r="E43" s="501" t="s">
        <v>531</v>
      </c>
      <c r="F43" s="502"/>
    </row>
    <row r="44" spans="1:6" s="38" customFormat="1" ht="15.95" customHeight="1" x14ac:dyDescent="0.25">
      <c r="B44" s="120"/>
      <c r="C44" s="120"/>
      <c r="D44" s="121"/>
      <c r="E44" s="122"/>
    </row>
    <row r="45" spans="1:6" s="38" customFormat="1" ht="15.95" customHeight="1" x14ac:dyDescent="0.25">
      <c r="B45" s="38" t="s">
        <v>305</v>
      </c>
    </row>
    <row r="46" spans="1:6" s="38" customFormat="1" ht="15.95" customHeight="1" x14ac:dyDescent="0.25">
      <c r="B46" s="38" t="s">
        <v>306</v>
      </c>
    </row>
    <row r="47" spans="1:6" s="38" customFormat="1" ht="15.95" customHeight="1" x14ac:dyDescent="0.25"/>
    <row r="48" spans="1:6" s="38" customFormat="1" ht="24.95" customHeight="1" x14ac:dyDescent="0.25">
      <c r="A48" s="380" t="s">
        <v>739</v>
      </c>
    </row>
    <row r="49" spans="1:22" s="38" customFormat="1" ht="15.95" customHeight="1" x14ac:dyDescent="0.25">
      <c r="B49" s="38" t="s">
        <v>533</v>
      </c>
    </row>
    <row r="50" spans="1:22" s="38" customFormat="1" ht="15.95" customHeight="1" x14ac:dyDescent="0.25">
      <c r="B50" s="38" t="s">
        <v>36</v>
      </c>
    </row>
    <row r="51" spans="1:22" s="38" customFormat="1" ht="15.95" customHeight="1" x14ac:dyDescent="0.25">
      <c r="B51" s="38" t="s">
        <v>317</v>
      </c>
    </row>
    <row r="52" spans="1:22" s="38" customFormat="1" ht="15.95" customHeight="1" x14ac:dyDescent="0.25">
      <c r="B52" s="38" t="s">
        <v>137</v>
      </c>
    </row>
    <row r="53" spans="1:22" s="38" customFormat="1" ht="15.95" customHeight="1" x14ac:dyDescent="0.25"/>
    <row r="54" spans="1:22" s="38" customFormat="1" ht="24.95" customHeight="1" x14ac:dyDescent="0.25">
      <c r="B54" s="390" t="s">
        <v>133</v>
      </c>
    </row>
    <row r="55" spans="1:22" s="38" customFormat="1" ht="20.100000000000001" customHeight="1" x14ac:dyDescent="0.25">
      <c r="B55" s="386" t="s">
        <v>17</v>
      </c>
      <c r="C55" s="386" t="s">
        <v>18</v>
      </c>
      <c r="D55" s="386" t="s">
        <v>24</v>
      </c>
      <c r="E55" s="386" t="s">
        <v>299</v>
      </c>
    </row>
    <row r="56" spans="1:22" s="38" customFormat="1" ht="15.95" customHeight="1" x14ac:dyDescent="0.25">
      <c r="B56" s="125">
        <f>'Os juros sobre juros'!$E$46</f>
        <v>331.89250191718025</v>
      </c>
      <c r="C56" s="129">
        <f>'Os juros sobre juros'!$C$90</f>
        <v>11948.130069018489</v>
      </c>
      <c r="D56" s="129">
        <f>'Os juros sobre juros'!$E$31</f>
        <v>7076.02</v>
      </c>
      <c r="E56" s="129">
        <f>'Os juros sobre juros'!$E$90</f>
        <v>4872.1100690184885</v>
      </c>
    </row>
    <row r="57" spans="1:22" s="38" customFormat="1" ht="15.95" customHeight="1" x14ac:dyDescent="0.25"/>
    <row r="58" spans="1:22" s="38" customFormat="1" ht="15.95" customHeight="1" x14ac:dyDescent="0.25">
      <c r="B58" s="38" t="s">
        <v>198</v>
      </c>
    </row>
    <row r="59" spans="1:22" s="38" customFormat="1" ht="15.95" customHeight="1" x14ac:dyDescent="0.25">
      <c r="B59" s="38" t="s">
        <v>199</v>
      </c>
    </row>
    <row r="60" spans="1:22" s="38" customFormat="1" ht="15.95" customHeight="1" x14ac:dyDescent="0.25"/>
    <row r="61" spans="1:22" s="38" customFormat="1" ht="24.95" customHeight="1" x14ac:dyDescent="0.25">
      <c r="A61" s="382" t="s">
        <v>915</v>
      </c>
      <c r="C61" s="121"/>
      <c r="D61" s="130"/>
      <c r="E61" s="121"/>
      <c r="F61" s="121"/>
      <c r="G61" s="40"/>
      <c r="H61" s="131"/>
      <c r="I61" s="131"/>
      <c r="J61" s="40"/>
      <c r="K61" s="40"/>
      <c r="L61" s="131"/>
      <c r="M61" s="131"/>
      <c r="N61" s="40"/>
      <c r="O61" s="40"/>
      <c r="P61" s="131"/>
      <c r="Q61" s="131"/>
      <c r="R61" s="40"/>
      <c r="S61" s="40"/>
      <c r="T61" s="131"/>
      <c r="U61" s="131"/>
      <c r="V61" s="40"/>
    </row>
    <row r="62" spans="1:22" s="38" customFormat="1" ht="15.95" customHeight="1" x14ac:dyDescent="0.25">
      <c r="B62" s="38" t="s">
        <v>534</v>
      </c>
    </row>
    <row r="63" spans="1:22" s="38" customFormat="1" ht="15.95" customHeight="1" x14ac:dyDescent="0.25">
      <c r="B63" s="38" t="s">
        <v>418</v>
      </c>
    </row>
    <row r="64" spans="1:22" s="38" customFormat="1" ht="15.95" customHeight="1" x14ac:dyDescent="0.25">
      <c r="B64" s="38" t="s">
        <v>419</v>
      </c>
    </row>
    <row r="65" spans="2:22" s="38" customFormat="1" ht="15.95" customHeight="1" x14ac:dyDescent="0.25">
      <c r="B65" s="38" t="s">
        <v>744</v>
      </c>
    </row>
    <row r="66" spans="2:22" s="38" customFormat="1" ht="15.95" customHeight="1" x14ac:dyDescent="0.25">
      <c r="B66" s="38" t="s">
        <v>420</v>
      </c>
    </row>
    <row r="67" spans="2:22" s="38" customFormat="1" ht="15.95" customHeight="1" x14ac:dyDescent="0.25">
      <c r="B67" s="38" t="s">
        <v>140</v>
      </c>
    </row>
    <row r="68" spans="2:22" s="38" customFormat="1" ht="15.95" customHeight="1" x14ac:dyDescent="0.25"/>
    <row r="69" spans="2:22" s="38" customFormat="1" ht="15.95" customHeight="1" x14ac:dyDescent="0.25">
      <c r="B69" s="119" t="s">
        <v>583</v>
      </c>
      <c r="C69" s="121"/>
      <c r="D69" s="130"/>
      <c r="E69" s="121"/>
      <c r="F69" s="121"/>
      <c r="G69" s="40"/>
      <c r="H69" s="131"/>
      <c r="I69" s="131"/>
      <c r="J69" s="40"/>
      <c r="K69" s="40"/>
      <c r="L69" s="131"/>
      <c r="M69" s="131"/>
      <c r="N69" s="40"/>
      <c r="O69" s="40"/>
      <c r="P69" s="131"/>
      <c r="Q69" s="131"/>
      <c r="R69" s="40"/>
      <c r="S69" s="40"/>
      <c r="T69" s="131"/>
      <c r="U69" s="131"/>
      <c r="V69" s="40"/>
    </row>
    <row r="70" spans="2:22" s="38" customFormat="1" ht="15.95" customHeight="1" x14ac:dyDescent="0.25">
      <c r="B70" s="213"/>
    </row>
    <row r="71" spans="2:22" ht="24.95" customHeight="1" x14ac:dyDescent="0.25">
      <c r="B71" s="390" t="s">
        <v>131</v>
      </c>
      <c r="G71" s="131"/>
      <c r="H71" s="131"/>
      <c r="I71" s="131"/>
      <c r="J71" s="131"/>
    </row>
    <row r="72" spans="2:22" s="38" customFormat="1" ht="20.100000000000001" customHeight="1" x14ac:dyDescent="0.25">
      <c r="B72" s="521" t="s">
        <v>19</v>
      </c>
      <c r="C72" s="524" t="s">
        <v>318</v>
      </c>
      <c r="D72" s="525"/>
      <c r="E72" s="525"/>
      <c r="F72" s="526"/>
      <c r="G72" s="131"/>
      <c r="H72" s="131"/>
      <c r="I72" s="131"/>
      <c r="J72" s="131"/>
    </row>
    <row r="73" spans="2:22" ht="20.100000000000001" customHeight="1" x14ac:dyDescent="0.25">
      <c r="B73" s="522"/>
      <c r="C73" s="523" t="s">
        <v>31</v>
      </c>
      <c r="D73" s="523"/>
      <c r="E73" s="523"/>
      <c r="F73" s="523"/>
      <c r="G73" s="131"/>
      <c r="H73" s="131"/>
      <c r="I73" s="131"/>
      <c r="J73" s="131"/>
    </row>
    <row r="74" spans="2:22" ht="20.100000000000001" customHeight="1" x14ac:dyDescent="0.25">
      <c r="B74" s="523"/>
      <c r="C74" s="348" t="s">
        <v>17</v>
      </c>
      <c r="D74" s="347" t="s">
        <v>20</v>
      </c>
      <c r="E74" s="348" t="s">
        <v>35</v>
      </c>
      <c r="F74" s="348" t="s">
        <v>22</v>
      </c>
      <c r="G74" s="131"/>
      <c r="H74" s="131"/>
      <c r="I74" s="131"/>
      <c r="J74" s="131"/>
    </row>
    <row r="75" spans="2:22" ht="15.95" customHeight="1" x14ac:dyDescent="0.25">
      <c r="B75" s="98">
        <f>'Os juros sobre juros'!$B$111</f>
        <v>1</v>
      </c>
      <c r="C75" s="125">
        <f>'Os juros sobre juros'!$C$111</f>
        <v>331.89250191718025</v>
      </c>
      <c r="D75" s="125">
        <f>'Os juros sobre juros'!$D$111</f>
        <v>321.72596153274549</v>
      </c>
      <c r="E75" s="125">
        <f>'Os juros sobre juros'!$E$111</f>
        <v>10.166540384434768</v>
      </c>
      <c r="F75" s="15">
        <f>'Os juros sobre juros'!$F$111</f>
        <v>3.1600000000000031E-2</v>
      </c>
      <c r="G75" s="131"/>
      <c r="H75" s="131"/>
      <c r="I75" s="131"/>
      <c r="J75" s="131"/>
    </row>
    <row r="76" spans="2:22" ht="15.95" customHeight="1" x14ac:dyDescent="0.25">
      <c r="B76" s="132">
        <f>'Os juros sobre juros'!$B$112</f>
        <v>2</v>
      </c>
      <c r="C76" s="125">
        <f>'Os juros sobre juros'!$C$112</f>
        <v>331.89250191718025</v>
      </c>
      <c r="D76" s="125">
        <f>'Os juros sobre juros'!$D$112</f>
        <v>311.87084289719411</v>
      </c>
      <c r="E76" s="125">
        <f>'Os juros sobre juros'!$E$112</f>
        <v>20.021659019986146</v>
      </c>
      <c r="F76" s="15">
        <f>'Os juros sobre juros'!$F$112</f>
        <v>6.4198560000000182E-2</v>
      </c>
      <c r="G76" s="131"/>
      <c r="H76" s="131"/>
      <c r="I76" s="131"/>
      <c r="J76" s="131"/>
    </row>
    <row r="77" spans="2:22" ht="15.95" customHeight="1" x14ac:dyDescent="0.25">
      <c r="B77" s="132">
        <f>'Os juros sobre juros'!$B$113</f>
        <v>3</v>
      </c>
      <c r="C77" s="125">
        <f>'Os juros sobre juros'!$C$113</f>
        <v>331.89250191718025</v>
      </c>
      <c r="D77" s="125">
        <f>'Os juros sobre juros'!$D$113</f>
        <v>302.31760653082017</v>
      </c>
      <c r="E77" s="125">
        <f>'Os juros sobre juros'!$E$113</f>
        <v>29.574895386360083</v>
      </c>
      <c r="F77" s="15">
        <f>'Os juros sobre juros'!$F$113</f>
        <v>9.7827234496000254E-2</v>
      </c>
      <c r="G77" s="131"/>
      <c r="H77" s="131"/>
      <c r="I77" s="131"/>
      <c r="J77" s="131"/>
    </row>
    <row r="78" spans="2:22" ht="15.95" customHeight="1" x14ac:dyDescent="0.25">
      <c r="B78" s="132" t="s">
        <v>307</v>
      </c>
      <c r="C78" s="132" t="s">
        <v>307</v>
      </c>
      <c r="D78" s="132" t="s">
        <v>307</v>
      </c>
      <c r="E78" s="132" t="s">
        <v>307</v>
      </c>
      <c r="F78" s="132" t="s">
        <v>307</v>
      </c>
      <c r="G78" s="131"/>
      <c r="H78" s="131"/>
      <c r="I78" s="131"/>
      <c r="J78" s="131"/>
    </row>
    <row r="79" spans="2:22" s="34" customFormat="1" ht="15.95" customHeight="1" x14ac:dyDescent="0.25">
      <c r="B79" s="132">
        <f ca="1">INDIRECT(ADDRESS((ROW('Os juros sobre juros'!$B$147)-1),2,,,"Os juros sobre juros"))</f>
        <v>36</v>
      </c>
      <c r="C79" s="125">
        <f ca="1">INDIRECT(ADDRESS((ROW('Os juros sobre juros'!$C$147)-1),3,,,"Os juros sobre juros"))</f>
        <v>331.89250191718025</v>
      </c>
      <c r="D79" s="125">
        <f ca="1">INDIRECT(ADDRESS((ROW('Os juros sobre juros'!$D$147)-1),4,,,"Os juros sobre juros"))</f>
        <v>108.29026991718021</v>
      </c>
      <c r="E79" s="125">
        <f ca="1">INDIRECT(ADDRESS((ROW('Os juros sobre juros'!$E$147)-1),5,,,"Os juros sobre juros"))</f>
        <v>223.60223200000004</v>
      </c>
      <c r="F79" s="15">
        <f ca="1">INDIRECT(ADDRESS((ROW('Os juros sobre juros'!$F$147)-1),6,,,"Os juros sobre juros"))</f>
        <v>2.0648413949933802</v>
      </c>
      <c r="G79" s="131"/>
      <c r="H79" s="131"/>
      <c r="I79" s="131"/>
      <c r="J79" s="131"/>
    </row>
    <row r="80" spans="2:22" s="34" customFormat="1" ht="15.95" customHeight="1" x14ac:dyDescent="0.25">
      <c r="B80" s="258" t="str">
        <f>'Os juros sobre juros'!$B$147</f>
        <v>Total</v>
      </c>
      <c r="C80" s="346">
        <f ca="1">'Os juros sobre juros'!$C$147</f>
        <v>11948.130069018489</v>
      </c>
      <c r="D80" s="346">
        <f ca="1">'Os juros sobre juros'!$D$147</f>
        <v>7076.0199999999886</v>
      </c>
      <c r="E80" s="346">
        <f ca="1">'Os juros sobre juros'!$E$147</f>
        <v>4872.1100690184994</v>
      </c>
      <c r="F80" s="37"/>
      <c r="G80" s="131"/>
      <c r="H80" s="131"/>
      <c r="I80" s="131"/>
      <c r="J80" s="131"/>
    </row>
    <row r="81" spans="1:22" s="38" customFormat="1" ht="15.95" customHeight="1" x14ac:dyDescent="0.25">
      <c r="B81" s="40"/>
      <c r="C81" s="121"/>
      <c r="D81" s="130"/>
      <c r="E81" s="121"/>
      <c r="F81" s="121"/>
      <c r="G81" s="40"/>
      <c r="H81" s="131"/>
      <c r="I81" s="131"/>
      <c r="J81" s="40"/>
      <c r="K81" s="40"/>
      <c r="L81" s="131"/>
      <c r="M81" s="131"/>
      <c r="N81" s="40"/>
      <c r="O81" s="40"/>
      <c r="P81" s="131"/>
      <c r="Q81" s="131"/>
      <c r="R81" s="40"/>
      <c r="S81" s="40"/>
      <c r="T81" s="131"/>
      <c r="U81" s="131"/>
      <c r="V81" s="40"/>
    </row>
    <row r="82" spans="1:22" s="38" customFormat="1" ht="24.95" customHeight="1" x14ac:dyDescent="0.25">
      <c r="A82" s="382" t="s">
        <v>734</v>
      </c>
      <c r="C82" s="121"/>
      <c r="D82" s="130"/>
      <c r="E82" s="121"/>
      <c r="F82" s="121"/>
      <c r="G82" s="40"/>
      <c r="H82" s="131"/>
      <c r="I82" s="131"/>
      <c r="J82" s="40"/>
      <c r="K82" s="40"/>
      <c r="L82" s="131"/>
      <c r="M82" s="131"/>
      <c r="N82" s="40"/>
      <c r="O82" s="40"/>
      <c r="P82" s="131"/>
      <c r="Q82" s="131"/>
      <c r="R82" s="40"/>
      <c r="S82" s="40"/>
      <c r="T82" s="131"/>
      <c r="U82" s="131"/>
      <c r="V82" s="40"/>
    </row>
    <row r="83" spans="1:22" s="38" customFormat="1" ht="15.95" customHeight="1" x14ac:dyDescent="0.25">
      <c r="B83" s="38" t="s">
        <v>127</v>
      </c>
    </row>
    <row r="84" spans="1:22" s="38" customFormat="1" ht="15.95" customHeight="1" x14ac:dyDescent="0.25">
      <c r="B84" s="38" t="s">
        <v>235</v>
      </c>
    </row>
    <row r="85" spans="1:22" s="38" customFormat="1" ht="15.95" customHeight="1" x14ac:dyDescent="0.25">
      <c r="B85" s="38" t="s">
        <v>128</v>
      </c>
    </row>
    <row r="86" spans="1:22" s="38" customFormat="1" ht="15.95" customHeight="1" x14ac:dyDescent="0.25">
      <c r="B86" s="38" t="s">
        <v>200</v>
      </c>
    </row>
    <row r="87" spans="1:22" s="38" customFormat="1" ht="15.95" customHeight="1" x14ac:dyDescent="0.25">
      <c r="B87" s="38" t="s">
        <v>129</v>
      </c>
    </row>
    <row r="88" spans="1:22" s="38" customFormat="1" ht="15.95" customHeight="1" x14ac:dyDescent="0.25">
      <c r="B88" s="38" t="s">
        <v>535</v>
      </c>
    </row>
    <row r="89" spans="1:22" s="38" customFormat="1" ht="15.95" customHeight="1" x14ac:dyDescent="0.25">
      <c r="B89" s="38" t="s">
        <v>626</v>
      </c>
    </row>
    <row r="90" spans="1:22" s="38" customFormat="1" ht="15.95" customHeight="1" x14ac:dyDescent="0.25"/>
    <row r="91" spans="1:22" s="38" customFormat="1" ht="15.95" customHeight="1" x14ac:dyDescent="0.25">
      <c r="B91" s="119" t="s">
        <v>536</v>
      </c>
    </row>
    <row r="92" spans="1:22" s="38" customFormat="1" ht="15.95" customHeight="1" x14ac:dyDescent="0.25">
      <c r="B92" s="119"/>
    </row>
    <row r="93" spans="1:22" s="38" customFormat="1" ht="24.95" customHeight="1" x14ac:dyDescent="0.25">
      <c r="B93" s="390" t="s">
        <v>132</v>
      </c>
    </row>
    <row r="94" spans="1:22" s="38" customFormat="1" ht="20.100000000000001" customHeight="1" x14ac:dyDescent="0.25">
      <c r="B94" s="485" t="s">
        <v>19</v>
      </c>
      <c r="C94" s="503" t="s">
        <v>31</v>
      </c>
      <c r="D94" s="504"/>
      <c r="E94" s="504"/>
      <c r="F94" s="505"/>
      <c r="G94" s="362" t="s">
        <v>130</v>
      </c>
      <c r="H94" s="18"/>
      <c r="I94" s="18"/>
      <c r="J94" s="18"/>
      <c r="K94" s="18"/>
      <c r="L94" s="18"/>
      <c r="M94" s="18"/>
      <c r="N94" s="19"/>
    </row>
    <row r="95" spans="1:22" s="38" customFormat="1" ht="20.100000000000001" customHeight="1" x14ac:dyDescent="0.25">
      <c r="B95" s="485"/>
      <c r="C95" s="506"/>
      <c r="D95" s="507"/>
      <c r="E95" s="507"/>
      <c r="F95" s="508"/>
      <c r="G95" s="485" t="s">
        <v>47</v>
      </c>
      <c r="H95" s="485"/>
      <c r="I95" s="485" t="s">
        <v>48</v>
      </c>
      <c r="J95" s="485"/>
      <c r="K95" s="485" t="s">
        <v>49</v>
      </c>
      <c r="L95" s="485"/>
      <c r="M95" s="125" t="s">
        <v>307</v>
      </c>
      <c r="N95" s="485" t="s">
        <v>62</v>
      </c>
    </row>
    <row r="96" spans="1:22" s="38" customFormat="1" ht="20.100000000000001" customHeight="1" x14ac:dyDescent="0.25">
      <c r="B96" s="485"/>
      <c r="C96" s="350" t="s">
        <v>17</v>
      </c>
      <c r="D96" s="352" t="s">
        <v>20</v>
      </c>
      <c r="E96" s="350" t="s">
        <v>35</v>
      </c>
      <c r="F96" s="351" t="s">
        <v>22</v>
      </c>
      <c r="G96" s="350" t="s">
        <v>24</v>
      </c>
      <c r="H96" s="350" t="s">
        <v>161</v>
      </c>
      <c r="I96" s="350" t="s">
        <v>24</v>
      </c>
      <c r="J96" s="403" t="s">
        <v>161</v>
      </c>
      <c r="K96" s="350" t="s">
        <v>24</v>
      </c>
      <c r="L96" s="403" t="s">
        <v>161</v>
      </c>
      <c r="M96" s="125" t="s">
        <v>307</v>
      </c>
      <c r="N96" s="485"/>
    </row>
    <row r="97" spans="2:75" s="38" customFormat="1" ht="15.95" customHeight="1" x14ac:dyDescent="0.25">
      <c r="B97" s="98">
        <f>'Os juros sobre juros'!$B$213</f>
        <v>1</v>
      </c>
      <c r="C97" s="125">
        <f>'Os juros sobre juros'!$C$213</f>
        <v>331.89250191718025</v>
      </c>
      <c r="D97" s="125">
        <f>'Os juros sobre juros'!$D$213</f>
        <v>321.72596153274549</v>
      </c>
      <c r="E97" s="125">
        <f>'Os juros sobre juros'!$E$213</f>
        <v>10.166540384434768</v>
      </c>
      <c r="F97" s="15">
        <f>'Os juros sobre juros'!$F$213</f>
        <v>3.1600000000000031E-2</v>
      </c>
      <c r="G97" s="125">
        <f>'Os juros sobre juros'!$G$213</f>
        <v>321.72596153274549</v>
      </c>
      <c r="H97" s="125">
        <f>'Os juros sobre juros'!$H$213</f>
        <v>10.166540384434759</v>
      </c>
      <c r="I97" s="125"/>
      <c r="J97" s="125"/>
      <c r="K97" s="125"/>
      <c r="L97" s="125"/>
      <c r="M97" s="125"/>
      <c r="N97" s="125">
        <f>'Os juros sobre juros'!$CA$213</f>
        <v>10.166540384434768</v>
      </c>
    </row>
    <row r="98" spans="2:75" s="38" customFormat="1" ht="15.95" customHeight="1" x14ac:dyDescent="0.25">
      <c r="B98" s="98">
        <f>'Os juros sobre juros'!$B$214</f>
        <v>2</v>
      </c>
      <c r="C98" s="125">
        <f>'Os juros sobre juros'!$C$214</f>
        <v>331.89250191718025</v>
      </c>
      <c r="D98" s="125">
        <f>'Os juros sobre juros'!$D$214</f>
        <v>311.87084289719411</v>
      </c>
      <c r="E98" s="125">
        <f>'Os juros sobre juros'!$E$214</f>
        <v>20.021659019986146</v>
      </c>
      <c r="F98" s="15">
        <f>'Os juros sobre juros'!$F$214</f>
        <v>6.4198560000000182E-2</v>
      </c>
      <c r="G98" s="125">
        <f>'Os juros sobre juros'!$G$214</f>
        <v>311.87084289719411</v>
      </c>
      <c r="H98" s="125">
        <f>'Os juros sobre juros'!$H$214</f>
        <v>9.8551186355513352</v>
      </c>
      <c r="I98" s="125">
        <f>'Os juros sobre juros'!$I$214</f>
        <v>321.72596153274543</v>
      </c>
      <c r="J98" s="125">
        <f>'Os juros sobre juros'!$J$214</f>
        <v>10.166540384434757</v>
      </c>
      <c r="K98" s="125"/>
      <c r="L98" s="125"/>
      <c r="M98" s="125"/>
      <c r="N98" s="125">
        <f>'Os juros sobre juros'!$CA$214</f>
        <v>20.021659019986146</v>
      </c>
    </row>
    <row r="99" spans="2:75" s="38" customFormat="1" ht="15.95" customHeight="1" x14ac:dyDescent="0.25">
      <c r="B99" s="98">
        <f>'Os juros sobre juros'!$B$215</f>
        <v>3</v>
      </c>
      <c r="C99" s="125">
        <f>'Os juros sobre juros'!$C$215</f>
        <v>331.89250191718025</v>
      </c>
      <c r="D99" s="125">
        <f>'Os juros sobre juros'!$D$215</f>
        <v>302.31760653082017</v>
      </c>
      <c r="E99" s="125">
        <f>'Os juros sobre juros'!$E$215</f>
        <v>29.574895386360083</v>
      </c>
      <c r="F99" s="15">
        <f>'Os juros sobre juros'!$F$215</f>
        <v>9.7827234496000254E-2</v>
      </c>
      <c r="G99" s="125">
        <f>'Os juros sobre juros'!$G$215</f>
        <v>302.31760653082017</v>
      </c>
      <c r="H99" s="125">
        <f>'Os juros sobre juros'!$H$215</f>
        <v>9.5532363663739179</v>
      </c>
      <c r="I99" s="125">
        <f>'Os juros sobre juros'!$I$215</f>
        <v>311.87084289719411</v>
      </c>
      <c r="J99" s="125">
        <f>'Os juros sobre juros'!$J$215</f>
        <v>9.8551186355513352</v>
      </c>
      <c r="K99" s="125">
        <f>'Os juros sobre juros'!$K$215</f>
        <v>321.72596153274543</v>
      </c>
      <c r="L99" s="125">
        <f>'Os juros sobre juros'!$L$215</f>
        <v>10.166540384434757</v>
      </c>
      <c r="M99" s="125"/>
      <c r="N99" s="125">
        <f>'Os juros sobre juros'!$CA$215</f>
        <v>29.574895386360083</v>
      </c>
    </row>
    <row r="100" spans="2:75" s="38" customFormat="1" ht="15.95" customHeight="1" x14ac:dyDescent="0.25">
      <c r="B100" s="98" t="s">
        <v>307</v>
      </c>
      <c r="C100" s="98" t="s">
        <v>307</v>
      </c>
      <c r="D100" s="98" t="s">
        <v>307</v>
      </c>
      <c r="E100" s="98" t="s">
        <v>307</v>
      </c>
      <c r="F100" s="98" t="s">
        <v>307</v>
      </c>
      <c r="G100" s="98" t="s">
        <v>307</v>
      </c>
      <c r="H100" s="98" t="s">
        <v>307</v>
      </c>
      <c r="I100" s="98" t="s">
        <v>307</v>
      </c>
      <c r="J100" s="98" t="s">
        <v>307</v>
      </c>
      <c r="K100" s="98" t="s">
        <v>307</v>
      </c>
      <c r="L100" s="98" t="s">
        <v>307</v>
      </c>
      <c r="M100" s="125" t="s">
        <v>307</v>
      </c>
      <c r="N100" s="125" t="str">
        <f>E100</f>
        <v>...</v>
      </c>
    </row>
    <row r="101" spans="2:75" s="95" customFormat="1" ht="15.95" customHeight="1" x14ac:dyDescent="0.25">
      <c r="B101" s="98">
        <f ca="1">INDIRECT(ADDRESS((ROW('Os juros sobre juros'!$B$249)-1),2,,,"Os juros sobre juros"))</f>
        <v>36</v>
      </c>
      <c r="C101" s="125">
        <f ca="1">INDIRECT(ADDRESS((ROW('Os juros sobre juros'!$C$249)-1),3,,,"Os juros sobre juros"))</f>
        <v>331.89250191718025</v>
      </c>
      <c r="D101" s="125">
        <f ca="1">INDIRECT(ADDRESS((ROW('Os juros sobre juros'!$D$249)-1),4,,,"Os juros sobre juros"))</f>
        <v>108.29026991718021</v>
      </c>
      <c r="E101" s="125">
        <f ca="1">INDIRECT(ADDRESS((ROW('Os juros sobre juros'!$E$249)-1),5,,,"Os juros sobre juros"))</f>
        <v>223.60223200000004</v>
      </c>
      <c r="F101" s="15">
        <f ca="1">INDIRECT(ADDRESS((ROW('Os juros sobre juros'!$F$249)-1),6,,,"Os juros sobre juros"))</f>
        <v>2.0648413949933802</v>
      </c>
      <c r="G101" s="125">
        <f ca="1">INDIRECT(ADDRESS((ROW('Os juros sobre juros'!$G$249)-1),6,,,"Os juros sobre juros"))</f>
        <v>2.0648413949933802</v>
      </c>
      <c r="H101" s="125">
        <f ca="1">INDIRECT(ADDRESS((ROW('Os juros sobre juros'!$H$249)-1),7,,,"Os juros sobre juros"))</f>
        <v>108.29026991718021</v>
      </c>
      <c r="I101" s="125">
        <f ca="1">INDIRECT(ADDRESS((ROW('Os juros sobre juros'!$I$249)-1),8,,,"Os juros sobre juros"))</f>
        <v>3.4219725293828951</v>
      </c>
      <c r="J101" s="125">
        <f ca="1">INDIRECT(ADDRESS((ROW('Os juros sobre juros'!$J$249)-1),9,,,"Os juros sobre juros"))</f>
        <v>111.71224244656311</v>
      </c>
      <c r="K101" s="125">
        <f ca="1">INDIRECT(ADDRESS((ROW('Os juros sobre juros'!$K$249)-1),10,,,"Os juros sobre juros"))</f>
        <v>3.5301068613113946</v>
      </c>
      <c r="L101" s="125">
        <f ca="1">INDIRECT(ADDRESS((ROW('Os juros sobre juros'!$L$249)-1),11,,,"Os juros sobre juros"))</f>
        <v>115.24234930787451</v>
      </c>
      <c r="M101" s="125" t="s">
        <v>307</v>
      </c>
      <c r="N101" s="125">
        <f ca="1">INDIRECT(ADDRESS((ROW('Os juros sobre juros'!$CA$249)-1),78,,,"Os juros sobre juros"))</f>
        <v>10.166540384434743</v>
      </c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</row>
    <row r="102" spans="2:75" s="95" customFormat="1" ht="15.95" customHeight="1" x14ac:dyDescent="0.25">
      <c r="B102" s="133" t="str">
        <f>'Os juros sobre juros'!$B$249</f>
        <v>Total</v>
      </c>
      <c r="C102" s="353">
        <f ca="1">'Os juros sobre juros'!$C$249</f>
        <v>11948.130069018489</v>
      </c>
      <c r="D102" s="353">
        <f ca="1">'Os juros sobre juros'!$D$249</f>
        <v>7076.0199999999886</v>
      </c>
      <c r="E102" s="353">
        <f ca="1">'Os juros sobre juros'!$E$249</f>
        <v>4872.1100690184994</v>
      </c>
      <c r="F102" s="234"/>
      <c r="G102" s="234"/>
      <c r="H102" s="353">
        <f ca="1">'Os juros sobre juros'!$H$249</f>
        <v>223.60223199999965</v>
      </c>
      <c r="I102" s="234"/>
      <c r="J102" s="353">
        <f ca="1">'Os juros sobre juros'!$J$249</f>
        <v>220.18025947061676</v>
      </c>
      <c r="K102" s="234"/>
      <c r="L102" s="353">
        <f ca="1">'Os juros sobre juros'!$L$249</f>
        <v>216.65015260930537</v>
      </c>
      <c r="M102" s="125" t="s">
        <v>307</v>
      </c>
      <c r="N102" s="353">
        <f ca="1">'Os juros sobre juros'!$CA$249</f>
        <v>4872.1100690184994</v>
      </c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</row>
    <row r="103" spans="2:75" s="38" customFormat="1" ht="15.95" customHeight="1" x14ac:dyDescent="0.25"/>
    <row r="104" spans="2:75" ht="24.95" customHeight="1" x14ac:dyDescent="0.25">
      <c r="B104" s="384" t="s">
        <v>197</v>
      </c>
    </row>
    <row r="105" spans="2:75" s="38" customFormat="1" ht="15.95" customHeight="1" x14ac:dyDescent="0.25">
      <c r="B105" s="40" t="s">
        <v>628</v>
      </c>
      <c r="C105" s="121"/>
      <c r="D105" s="130"/>
      <c r="E105" s="121"/>
      <c r="F105" s="121"/>
      <c r="G105" s="40"/>
      <c r="H105" s="131"/>
      <c r="I105" s="131"/>
      <c r="J105" s="40"/>
      <c r="K105" s="40"/>
      <c r="L105" s="131"/>
      <c r="M105" s="131"/>
      <c r="N105" s="40"/>
      <c r="O105" s="40"/>
      <c r="P105" s="131"/>
      <c r="Q105" s="131"/>
      <c r="R105" s="40"/>
      <c r="S105" s="40"/>
      <c r="T105" s="131"/>
      <c r="U105" s="131"/>
      <c r="V105" s="40"/>
    </row>
    <row r="106" spans="2:75" s="38" customFormat="1" ht="15.95" customHeight="1" x14ac:dyDescent="0.25">
      <c r="B106" s="40" t="s">
        <v>629</v>
      </c>
      <c r="C106" s="121"/>
      <c r="D106" s="130"/>
      <c r="E106" s="121"/>
      <c r="F106" s="121"/>
      <c r="G106" s="40"/>
      <c r="H106" s="131"/>
      <c r="I106" s="131"/>
      <c r="J106" s="40"/>
      <c r="K106" s="40"/>
      <c r="L106" s="131"/>
      <c r="M106" s="131"/>
      <c r="N106" s="40"/>
      <c r="O106" s="40"/>
      <c r="P106" s="131"/>
      <c r="Q106" s="131"/>
      <c r="R106" s="40"/>
      <c r="S106" s="40"/>
      <c r="T106" s="131"/>
      <c r="U106" s="131"/>
      <c r="V106" s="40"/>
    </row>
    <row r="107" spans="2:75" s="38" customFormat="1" ht="15.95" customHeight="1" x14ac:dyDescent="0.25">
      <c r="B107" s="38" t="s">
        <v>639</v>
      </c>
    </row>
    <row r="108" spans="2:75" s="38" customFormat="1" ht="15.95" customHeight="1" x14ac:dyDescent="0.25">
      <c r="B108" s="38" t="s">
        <v>201</v>
      </c>
    </row>
    <row r="109" spans="2:75" s="38" customFormat="1" ht="15.95" customHeight="1" x14ac:dyDescent="0.25">
      <c r="B109" s="38" t="s">
        <v>202</v>
      </c>
    </row>
    <row r="110" spans="2:75" s="38" customFormat="1" ht="15.95" customHeight="1" x14ac:dyDescent="0.25">
      <c r="B110" s="38" t="s">
        <v>203</v>
      </c>
    </row>
    <row r="111" spans="2:75" s="38" customFormat="1" ht="15.95" customHeight="1" x14ac:dyDescent="0.25">
      <c r="B111" s="38" t="s">
        <v>204</v>
      </c>
    </row>
    <row r="112" spans="2:75" s="38" customFormat="1" ht="15.95" customHeight="1" x14ac:dyDescent="0.25">
      <c r="B112" s="38" t="s">
        <v>205</v>
      </c>
    </row>
    <row r="113" spans="1:22" s="38" customFormat="1" ht="15.95" customHeight="1" x14ac:dyDescent="0.25">
      <c r="B113" s="38" t="s">
        <v>631</v>
      </c>
    </row>
    <row r="114" spans="1:22" s="38" customFormat="1" ht="15.95" customHeight="1" x14ac:dyDescent="0.25">
      <c r="B114" s="38" t="s">
        <v>627</v>
      </c>
    </row>
    <row r="115" spans="1:22" s="38" customFormat="1" ht="15.95" customHeight="1" x14ac:dyDescent="0.25">
      <c r="B115" s="38" t="s">
        <v>730</v>
      </c>
    </row>
    <row r="116" spans="1:22" s="38" customFormat="1" ht="15.95" customHeight="1" x14ac:dyDescent="0.25">
      <c r="B116" s="38" t="s">
        <v>151</v>
      </c>
    </row>
    <row r="117" spans="1:22" s="38" customFormat="1" ht="15.95" customHeight="1" x14ac:dyDescent="0.25">
      <c r="B117" s="40"/>
      <c r="C117" s="121"/>
      <c r="D117" s="130"/>
      <c r="E117" s="121"/>
      <c r="F117" s="121"/>
      <c r="G117" s="40"/>
      <c r="H117" s="131"/>
      <c r="I117" s="131"/>
      <c r="J117" s="40"/>
      <c r="K117" s="40"/>
      <c r="L117" s="131"/>
      <c r="M117" s="131"/>
      <c r="N117" s="40"/>
      <c r="O117" s="40"/>
      <c r="P117" s="131"/>
      <c r="Q117" s="131"/>
      <c r="R117" s="40"/>
      <c r="S117" s="40"/>
      <c r="T117" s="131"/>
      <c r="U117" s="131"/>
      <c r="V117" s="40"/>
    </row>
    <row r="118" spans="1:22" s="38" customFormat="1" ht="24.95" customHeight="1" x14ac:dyDescent="0.25">
      <c r="A118" s="382" t="s">
        <v>735</v>
      </c>
      <c r="C118" s="121"/>
      <c r="D118" s="130"/>
      <c r="E118" s="121"/>
      <c r="F118" s="121"/>
      <c r="G118" s="40"/>
      <c r="H118" s="131"/>
      <c r="J118" s="131"/>
      <c r="K118" s="131"/>
      <c r="L118" s="40"/>
      <c r="M118" s="40"/>
      <c r="N118" s="40"/>
      <c r="O118" s="40"/>
      <c r="P118" s="131"/>
      <c r="Q118" s="131"/>
      <c r="R118" s="40"/>
      <c r="S118" s="40"/>
      <c r="T118" s="131"/>
      <c r="U118" s="131"/>
      <c r="V118" s="40"/>
    </row>
    <row r="119" spans="1:22" s="38" customFormat="1" ht="15.95" customHeight="1" x14ac:dyDescent="0.25">
      <c r="A119" s="85"/>
      <c r="B119" s="82" t="s">
        <v>339</v>
      </c>
    </row>
    <row r="120" spans="1:22" s="38" customFormat="1" ht="15.95" customHeight="1" x14ac:dyDescent="0.25">
      <c r="B120" s="38" t="s">
        <v>340</v>
      </c>
    </row>
    <row r="121" spans="1:22" s="38" customFormat="1" ht="15.95" customHeight="1" x14ac:dyDescent="0.25"/>
    <row r="122" spans="1:22" s="38" customFormat="1" ht="15.95" customHeight="1" x14ac:dyDescent="0.25">
      <c r="B122" s="82" t="s">
        <v>375</v>
      </c>
    </row>
    <row r="123" spans="1:22" s="119" customFormat="1" ht="15.95" customHeight="1" x14ac:dyDescent="0.25"/>
    <row r="124" spans="1:22" s="38" customFormat="1" ht="24.95" customHeight="1" x14ac:dyDescent="0.25">
      <c r="B124" s="390" t="s">
        <v>326</v>
      </c>
    </row>
    <row r="125" spans="1:22" s="38" customFormat="1" ht="20.100000000000001" customHeight="1" x14ac:dyDescent="0.25">
      <c r="B125" s="485" t="s">
        <v>19</v>
      </c>
      <c r="C125" s="485" t="s">
        <v>31</v>
      </c>
      <c r="D125" s="485"/>
      <c r="E125" s="485"/>
      <c r="F125" s="485"/>
      <c r="G125" s="487" t="s">
        <v>196</v>
      </c>
      <c r="H125" s="488"/>
      <c r="I125" s="488"/>
      <c r="J125" s="488"/>
      <c r="K125" s="488"/>
      <c r="L125" s="488"/>
      <c r="M125" s="488"/>
      <c r="N125" s="488"/>
      <c r="O125" s="488"/>
      <c r="P125" s="488"/>
      <c r="Q125" s="488"/>
      <c r="R125" s="488"/>
      <c r="S125" s="488"/>
      <c r="T125" s="488"/>
      <c r="U125" s="488"/>
      <c r="V125" s="489"/>
    </row>
    <row r="126" spans="1:22" s="38" customFormat="1" ht="20.100000000000001" customHeight="1" x14ac:dyDescent="0.25">
      <c r="B126" s="485"/>
      <c r="C126" s="485"/>
      <c r="D126" s="485"/>
      <c r="E126" s="485"/>
      <c r="F126" s="485"/>
      <c r="G126" s="485" t="s">
        <v>47</v>
      </c>
      <c r="H126" s="485"/>
      <c r="I126" s="485"/>
      <c r="J126" s="485"/>
      <c r="K126" s="485" t="s">
        <v>48</v>
      </c>
      <c r="L126" s="485"/>
      <c r="M126" s="485"/>
      <c r="N126" s="485"/>
      <c r="O126" s="485" t="s">
        <v>49</v>
      </c>
      <c r="P126" s="485"/>
      <c r="Q126" s="485"/>
      <c r="R126" s="485"/>
      <c r="S126" s="125" t="s">
        <v>307</v>
      </c>
      <c r="T126" s="485" t="s">
        <v>62</v>
      </c>
      <c r="U126" s="485"/>
      <c r="V126" s="485"/>
    </row>
    <row r="127" spans="1:22" s="38" customFormat="1" ht="20.100000000000001" customHeight="1" x14ac:dyDescent="0.25">
      <c r="B127" s="485"/>
      <c r="C127" s="486" t="s">
        <v>17</v>
      </c>
      <c r="D127" s="490" t="s">
        <v>20</v>
      </c>
      <c r="E127" s="486" t="s">
        <v>35</v>
      </c>
      <c r="F127" s="486" t="s">
        <v>22</v>
      </c>
      <c r="G127" s="486" t="s">
        <v>214</v>
      </c>
      <c r="H127" s="486" t="s">
        <v>25</v>
      </c>
      <c r="I127" s="486" t="s">
        <v>43</v>
      </c>
      <c r="J127" s="486" t="s">
        <v>161</v>
      </c>
      <c r="K127" s="486" t="s">
        <v>214</v>
      </c>
      <c r="L127" s="486" t="s">
        <v>25</v>
      </c>
      <c r="M127" s="486" t="s">
        <v>43</v>
      </c>
      <c r="N127" s="486" t="s">
        <v>161</v>
      </c>
      <c r="O127" s="486" t="s">
        <v>214</v>
      </c>
      <c r="P127" s="486" t="s">
        <v>25</v>
      </c>
      <c r="Q127" s="486" t="s">
        <v>43</v>
      </c>
      <c r="R127" s="486" t="s">
        <v>161</v>
      </c>
      <c r="S127" s="492" t="s">
        <v>307</v>
      </c>
      <c r="T127" s="348" t="s">
        <v>25</v>
      </c>
      <c r="U127" s="348" t="s">
        <v>292</v>
      </c>
      <c r="V127" s="348" t="s">
        <v>745</v>
      </c>
    </row>
    <row r="128" spans="1:22" s="38" customFormat="1" ht="20.100000000000001" customHeight="1" x14ac:dyDescent="0.25">
      <c r="B128" s="485"/>
      <c r="C128" s="486"/>
      <c r="D128" s="490"/>
      <c r="E128" s="486"/>
      <c r="F128" s="486"/>
      <c r="G128" s="486"/>
      <c r="H128" s="486"/>
      <c r="I128" s="486"/>
      <c r="J128" s="486"/>
      <c r="K128" s="486"/>
      <c r="L128" s="486"/>
      <c r="M128" s="486"/>
      <c r="N128" s="486"/>
      <c r="O128" s="486"/>
      <c r="P128" s="486"/>
      <c r="Q128" s="486"/>
      <c r="R128" s="486"/>
      <c r="S128" s="493"/>
      <c r="T128" s="348" t="s">
        <v>63</v>
      </c>
      <c r="U128" s="348" t="s">
        <v>63</v>
      </c>
      <c r="V128" s="348" t="s">
        <v>63</v>
      </c>
    </row>
    <row r="129" spans="2:150" s="38" customFormat="1" ht="15.95" customHeight="1" x14ac:dyDescent="0.25">
      <c r="B129" s="98">
        <f>'Os juros sobre juros'!$B$367</f>
        <v>1</v>
      </c>
      <c r="C129" s="125">
        <f>'Os juros sobre juros'!$C$367</f>
        <v>331.89250191718025</v>
      </c>
      <c r="D129" s="125">
        <f>'Os juros sobre juros'!$D$367</f>
        <v>321.72596153274549</v>
      </c>
      <c r="E129" s="125">
        <f>'Os juros sobre juros'!$E$367</f>
        <v>10.166540384434768</v>
      </c>
      <c r="F129" s="140">
        <f>'Os juros sobre juros'!$F$367</f>
        <v>3.1600000000000031E-2</v>
      </c>
      <c r="G129" s="125">
        <f>'Os juros sobre juros'!$G$367</f>
        <v>0</v>
      </c>
      <c r="H129" s="125">
        <f>'Os juros sobre juros'!$H$367</f>
        <v>10.166540384434759</v>
      </c>
      <c r="I129" s="125">
        <f>'Os juros sobre juros'!$I$367</f>
        <v>0</v>
      </c>
      <c r="J129" s="125">
        <f>'Os juros sobre juros'!$J$367</f>
        <v>10.166540384434759</v>
      </c>
      <c r="K129" s="125"/>
      <c r="L129" s="125"/>
      <c r="M129" s="125"/>
      <c r="N129" s="125"/>
      <c r="O129" s="125"/>
      <c r="P129" s="125"/>
      <c r="Q129" s="125"/>
      <c r="R129" s="125"/>
      <c r="S129" s="125"/>
      <c r="T129" s="125">
        <f>'Os juros sobre juros'!$EU$367</f>
        <v>10.166540384434759</v>
      </c>
      <c r="U129" s="125">
        <f>'Os juros sobre juros'!$EV$367</f>
        <v>0</v>
      </c>
      <c r="V129" s="125">
        <f>'Os juros sobre juros'!$EW$367</f>
        <v>10.166540384434768</v>
      </c>
    </row>
    <row r="130" spans="2:150" s="38" customFormat="1" ht="15.95" customHeight="1" x14ac:dyDescent="0.25">
      <c r="B130" s="98">
        <f>'Os juros sobre juros'!$B$368</f>
        <v>2</v>
      </c>
      <c r="C130" s="125">
        <f>'Os juros sobre juros'!$C$368</f>
        <v>331.89250191718025</v>
      </c>
      <c r="D130" s="125">
        <f>'Os juros sobre juros'!$D$368</f>
        <v>311.87084289719411</v>
      </c>
      <c r="E130" s="125">
        <f>'Os juros sobre juros'!$E$368</f>
        <v>20.021659019986146</v>
      </c>
      <c r="F130" s="140">
        <f>'Os juros sobre juros'!$F$368</f>
        <v>6.4198560000000182E-2</v>
      </c>
      <c r="G130" s="125">
        <f>'Os juros sobre juros'!$G$368</f>
        <v>0</v>
      </c>
      <c r="H130" s="125">
        <f>'Os juros sobre juros'!$H$368</f>
        <v>9.8551186355513352</v>
      </c>
      <c r="I130" s="125">
        <f>'Os juros sobre juros'!$I$368</f>
        <v>0</v>
      </c>
      <c r="J130" s="125">
        <f>'Os juros sobre juros'!$J$368</f>
        <v>9.8551186355513352</v>
      </c>
      <c r="K130" s="125">
        <f>'Os juros sobre juros'!$K$368</f>
        <v>9.8551186355513352</v>
      </c>
      <c r="L130" s="125">
        <f>'Os juros sobre juros'!$L$368</f>
        <v>9.8551186355513352</v>
      </c>
      <c r="M130" s="125">
        <f>'Os juros sobre juros'!$M$368</f>
        <v>0.31142174888342222</v>
      </c>
      <c r="N130" s="125">
        <f>'Os juros sobre juros'!$N$368</f>
        <v>10.166540384434757</v>
      </c>
      <c r="O130" s="125"/>
      <c r="P130" s="125"/>
      <c r="Q130" s="125"/>
      <c r="R130" s="125"/>
      <c r="S130" s="125"/>
      <c r="T130" s="125">
        <f>'Os juros sobre juros'!$EU$368</f>
        <v>19.71023727110267</v>
      </c>
      <c r="U130" s="125">
        <f>'Os juros sobre juros'!$EV$368</f>
        <v>0.3114217488834754</v>
      </c>
      <c r="V130" s="125">
        <f>'Os juros sobre juros'!$EW$368</f>
        <v>20.021659019986146</v>
      </c>
    </row>
    <row r="131" spans="2:150" s="38" customFormat="1" ht="15.95" customHeight="1" x14ac:dyDescent="0.25">
      <c r="B131" s="98">
        <f>'Os juros sobre juros'!$B$369</f>
        <v>3</v>
      </c>
      <c r="C131" s="125">
        <f>'Os juros sobre juros'!$C$369</f>
        <v>331.89250191718025</v>
      </c>
      <c r="D131" s="125">
        <f>'Os juros sobre juros'!$D$369</f>
        <v>302.31760653082017</v>
      </c>
      <c r="E131" s="125">
        <f>'Os juros sobre juros'!$E$369</f>
        <v>29.574895386360083</v>
      </c>
      <c r="F131" s="140">
        <f>'Os juros sobre juros'!$F$369</f>
        <v>9.7827234496000254E-2</v>
      </c>
      <c r="G131" s="125">
        <f>'Os juros sobre juros'!$G$369</f>
        <v>0</v>
      </c>
      <c r="H131" s="125">
        <f>'Os juros sobre juros'!$H$369</f>
        <v>9.5532363663739179</v>
      </c>
      <c r="I131" s="125">
        <f>'Os juros sobre juros'!$I$369</f>
        <v>0</v>
      </c>
      <c r="J131" s="125">
        <f>'Os juros sobre juros'!$J$369</f>
        <v>9.5532363663739179</v>
      </c>
      <c r="K131" s="125">
        <f>'Os juros sobre juros'!$K$369</f>
        <v>9.5532363663739179</v>
      </c>
      <c r="L131" s="125">
        <f>'Os juros sobre juros'!$L$369</f>
        <v>9.5532363663739179</v>
      </c>
      <c r="M131" s="125">
        <f>'Os juros sobre juros'!$M$369</f>
        <v>0.30188226917741584</v>
      </c>
      <c r="N131" s="125">
        <f>'Os juros sobre juros'!$N$369</f>
        <v>9.8551186355513334</v>
      </c>
      <c r="O131" s="125">
        <f>'Os juros sobre juros'!$O$369</f>
        <v>19.408355001925251</v>
      </c>
      <c r="P131" s="125">
        <f>'Os juros sobre juros'!$P$369</f>
        <v>9.5532363663739179</v>
      </c>
      <c r="Q131" s="125">
        <f>'Os juros sobre juros'!$Q$369</f>
        <v>0.61330401806083801</v>
      </c>
      <c r="R131" s="125">
        <f>'Os juros sobre juros'!$R$369</f>
        <v>10.166540384434755</v>
      </c>
      <c r="S131" s="125"/>
      <c r="T131" s="125">
        <f>'Os juros sobre juros'!$EU$369</f>
        <v>28.659709099121756</v>
      </c>
      <c r="U131" s="125">
        <f>'Os juros sobre juros'!$EV$369</f>
        <v>0.91518628723832762</v>
      </c>
      <c r="V131" s="125">
        <f>'Os juros sobre juros'!$EW$369</f>
        <v>29.574895386360083</v>
      </c>
    </row>
    <row r="132" spans="2:150" s="38" customFormat="1" ht="15.95" customHeight="1" x14ac:dyDescent="0.25">
      <c r="B132" s="125" t="s">
        <v>307</v>
      </c>
      <c r="C132" s="125" t="s">
        <v>307</v>
      </c>
      <c r="D132" s="125" t="s">
        <v>307</v>
      </c>
      <c r="E132" s="125" t="s">
        <v>307</v>
      </c>
      <c r="F132" s="125" t="s">
        <v>307</v>
      </c>
      <c r="G132" s="125" t="s">
        <v>307</v>
      </c>
      <c r="H132" s="125" t="s">
        <v>307</v>
      </c>
      <c r="I132" s="125" t="s">
        <v>307</v>
      </c>
      <c r="J132" s="125" t="s">
        <v>307</v>
      </c>
      <c r="K132" s="125" t="s">
        <v>307</v>
      </c>
      <c r="L132" s="125" t="s">
        <v>307</v>
      </c>
      <c r="M132" s="125" t="s">
        <v>307</v>
      </c>
      <c r="N132" s="125" t="s">
        <v>307</v>
      </c>
      <c r="O132" s="125" t="s">
        <v>307</v>
      </c>
      <c r="P132" s="125" t="s">
        <v>307</v>
      </c>
      <c r="Q132" s="125" t="s">
        <v>307</v>
      </c>
      <c r="R132" s="125" t="s">
        <v>307</v>
      </c>
      <c r="S132" s="125" t="s">
        <v>307</v>
      </c>
      <c r="T132" s="125" t="s">
        <v>307</v>
      </c>
      <c r="U132" s="125" t="s">
        <v>307</v>
      </c>
      <c r="V132" s="125" t="str">
        <f t="shared" ref="V132:V134" si="0">$E132</f>
        <v>...</v>
      </c>
    </row>
    <row r="133" spans="2:150" s="38" customFormat="1" ht="15.95" customHeight="1" x14ac:dyDescent="0.25">
      <c r="B133" s="98">
        <f>'Os juros sobre juros'!$B$378</f>
        <v>12</v>
      </c>
      <c r="C133" s="125">
        <f>'Os juros sobre juros'!$C$378</f>
        <v>331.89250191718025</v>
      </c>
      <c r="D133" s="125">
        <f>'Os juros sobre juros'!$D$378</f>
        <v>228.48697048904467</v>
      </c>
      <c r="E133" s="125">
        <f>'Os juros sobre juros'!$E$378</f>
        <v>103.40553142813559</v>
      </c>
      <c r="F133" s="140">
        <f>'Os juros sobre juros'!$F$378</f>
        <v>0.45256642515242945</v>
      </c>
      <c r="G133" s="125">
        <f>'Os juros sobre juros'!$G$378</f>
        <v>0</v>
      </c>
      <c r="H133" s="125">
        <f>'Os juros sobre juros'!$H$378</f>
        <v>7.2201882674538123</v>
      </c>
      <c r="I133" s="125">
        <f>'Os juros sobre juros'!$I$378</f>
        <v>0</v>
      </c>
      <c r="J133" s="125">
        <f>'Os juros sobre juros'!$J$378</f>
        <v>7.2201882674538123</v>
      </c>
      <c r="K133" s="125">
        <f>'Os juros sobre juros'!$K$378</f>
        <v>7.2201882674538123</v>
      </c>
      <c r="L133" s="125">
        <f>'Os juros sobre juros'!$L$378</f>
        <v>7.2201882674538123</v>
      </c>
      <c r="M133" s="125">
        <f>'Os juros sobre juros'!$M$378</f>
        <v>0.22815794925154048</v>
      </c>
      <c r="N133" s="125">
        <f>'Os juros sobre juros'!$N$378</f>
        <v>7.4483462167053531</v>
      </c>
      <c r="O133" s="125">
        <f>'Os juros sobre juros'!$O$378</f>
        <v>14.668534484159165</v>
      </c>
      <c r="P133" s="125">
        <f>'Os juros sobre juros'!$P$378</f>
        <v>7.2201882674538123</v>
      </c>
      <c r="Q133" s="125">
        <f>'Os juros sobre juros'!$Q$378</f>
        <v>0.46352568969942964</v>
      </c>
      <c r="R133" s="125">
        <f>'Os juros sobre juros'!$R$378</f>
        <v>7.683713957153242</v>
      </c>
      <c r="S133" s="125" t="s">
        <v>307</v>
      </c>
      <c r="T133" s="125">
        <f>'Os juros sobre juros'!$EU$378</f>
        <v>86.64225920944574</v>
      </c>
      <c r="U133" s="125">
        <f>'Os juros sobre juros'!$EV$378</f>
        <v>16.763272218689849</v>
      </c>
      <c r="V133" s="125">
        <f>'Os juros sobre juros'!$EW$378</f>
        <v>103.40553142813559</v>
      </c>
    </row>
    <row r="134" spans="2:150" s="38" customFormat="1" ht="15.95" customHeight="1" x14ac:dyDescent="0.25">
      <c r="B134" s="125" t="s">
        <v>307</v>
      </c>
      <c r="C134" s="125" t="s">
        <v>307</v>
      </c>
      <c r="D134" s="125" t="s">
        <v>307</v>
      </c>
      <c r="E134" s="125" t="s">
        <v>307</v>
      </c>
      <c r="F134" s="125" t="s">
        <v>307</v>
      </c>
      <c r="G134" s="125" t="s">
        <v>307</v>
      </c>
      <c r="H134" s="125" t="s">
        <v>307</v>
      </c>
      <c r="I134" s="125" t="s">
        <v>307</v>
      </c>
      <c r="J134" s="125" t="s">
        <v>307</v>
      </c>
      <c r="K134" s="125" t="s">
        <v>307</v>
      </c>
      <c r="L134" s="125" t="s">
        <v>307</v>
      </c>
      <c r="M134" s="125" t="s">
        <v>307</v>
      </c>
      <c r="N134" s="125" t="s">
        <v>307</v>
      </c>
      <c r="O134" s="125" t="s">
        <v>307</v>
      </c>
      <c r="P134" s="125" t="s">
        <v>307</v>
      </c>
      <c r="Q134" s="125" t="s">
        <v>307</v>
      </c>
      <c r="R134" s="125" t="s">
        <v>307</v>
      </c>
      <c r="S134" s="125" t="s">
        <v>307</v>
      </c>
      <c r="T134" s="125" t="s">
        <v>307</v>
      </c>
      <c r="U134" s="125" t="s">
        <v>307</v>
      </c>
      <c r="V134" s="125" t="str">
        <f t="shared" si="0"/>
        <v>...</v>
      </c>
    </row>
    <row r="135" spans="2:150" s="95" customFormat="1" ht="15.95" customHeight="1" x14ac:dyDescent="0.25">
      <c r="B135" s="98">
        <f ca="1">INDIRECT(ADDRESS((ROW('Os juros sobre juros'!$B$403)-1),2,,,"Os juros sobre juros"))</f>
        <v>36</v>
      </c>
      <c r="C135" s="125">
        <f ca="1">INDIRECT(ADDRESS((ROW('Os juros sobre juros'!$C$403)-1),3,,,"Os juros sobre juros"))</f>
        <v>331.89250191718025</v>
      </c>
      <c r="D135" s="125">
        <f ca="1">INDIRECT(ADDRESS((ROW('Os juros sobre juros'!$D$403)-1),4,,,"Os juros sobre juros"))</f>
        <v>108.29026991718021</v>
      </c>
      <c r="E135" s="125">
        <f ca="1">INDIRECT(ADDRESS((ROW('Os juros sobre juros'!$E$403)-1),5,,,"Os juros sobre juros"))</f>
        <v>223.60223200000004</v>
      </c>
      <c r="F135" s="125">
        <f ca="1">INDIRECT(ADDRESS((ROW('Os juros sobre juros'!$F$403)-1),6,,,"Os juros sobre juros"))</f>
        <v>2.0648413949933802</v>
      </c>
      <c r="G135" s="125">
        <f ca="1">INDIRECT(ADDRESS((ROW('Os juros sobre juros'!$G$403)-1),7,,,"Os juros sobre juros"))</f>
        <v>0</v>
      </c>
      <c r="H135" s="125">
        <f ca="1">INDIRECT(ADDRESS((ROW('Os juros sobre juros'!$H$403)-1),8,,,"Os juros sobre juros"))</f>
        <v>3.4219725293828951</v>
      </c>
      <c r="I135" s="125">
        <f ca="1">INDIRECT(ADDRESS((ROW('Os juros sobre juros'!$I$403)-1),9,,,"Os juros sobre juros"))</f>
        <v>0</v>
      </c>
      <c r="J135" s="125">
        <f ca="1">INDIRECT(ADDRESS((ROW('Os juros sobre juros'!$J$403)-1),10,,,"Os juros sobre juros"))</f>
        <v>3.4219725293828951</v>
      </c>
      <c r="K135" s="125">
        <f ca="1">INDIRECT(ADDRESS((ROW('Os juros sobre juros'!$K$403)-1),11,,,"Os juros sobre juros"))</f>
        <v>3.4219725293828951</v>
      </c>
      <c r="L135" s="125">
        <f ca="1">INDIRECT(ADDRESS((ROW('Os juros sobre juros'!$L$403)-1),12,,,"Os juros sobre juros"))</f>
        <v>3.4219725293828951</v>
      </c>
      <c r="M135" s="125">
        <f ca="1">INDIRECT(ADDRESS((ROW('Os juros sobre juros'!$M$403)-1),13,,,"Os juros sobre juros"))</f>
        <v>0.1081343319284995</v>
      </c>
      <c r="N135" s="125">
        <f ca="1">INDIRECT(ADDRESS((ROW('Os juros sobre juros'!$N$403)-1),14,,,"Os juros sobre juros"))</f>
        <v>3.5301068613113946</v>
      </c>
      <c r="O135" s="125">
        <f ca="1">INDIRECT(ADDRESS((ROW('Os juros sobre juros'!$O$403)-1),15,,,"Os juros sobre juros"))</f>
        <v>6.9520793906942897</v>
      </c>
      <c r="P135" s="125">
        <f ca="1">INDIRECT(ADDRESS((ROW('Os juros sobre juros'!$P$403)-1),16,,,"Os juros sobre juros"))</f>
        <v>3.4219725293828951</v>
      </c>
      <c r="Q135" s="125">
        <f ca="1">INDIRECT(ADDRESS((ROW('Os juros sobre juros'!$Q$403)-1),17,,,"Os juros sobre juros"))</f>
        <v>0.21968570874593957</v>
      </c>
      <c r="R135" s="125">
        <f ca="1">INDIRECT(ADDRESS((ROW('Os juros sobre juros'!$R$403)-1),18,,,"Os juros sobre juros"))</f>
        <v>3.6416582381288345</v>
      </c>
      <c r="S135" s="125" t="s">
        <v>307</v>
      </c>
      <c r="T135" s="125">
        <f ca="1">INDIRECT(ADDRESS((ROW('Os juros sobre juros'!$EU$403)-1),151,,,"Os juros sobre juros"))</f>
        <v>123.19101105778422</v>
      </c>
      <c r="U135" s="125">
        <f ca="1">INDIRECT(ADDRESS((ROW('Os juros sobre juros'!$EV$403)-1),152,,,"Os juros sobre juros"))</f>
        <v>100.41122094221582</v>
      </c>
      <c r="V135" s="125">
        <f ca="1">INDIRECT(ADDRESS((ROW('Os juros sobre juros'!$EW$403)-1),153,,,"Os juros sobre juros"))</f>
        <v>223.60223200000004</v>
      </c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  <c r="DK135" s="38"/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</row>
    <row r="136" spans="2:150" s="95" customFormat="1" ht="15.95" customHeight="1" x14ac:dyDescent="0.25">
      <c r="B136" s="348" t="str">
        <f>'Os juros sobre juros'!$B$403</f>
        <v>Total</v>
      </c>
      <c r="C136" s="346">
        <f ca="1">'Os juros sobre juros'!$C$403</f>
        <v>11948.130069018489</v>
      </c>
      <c r="D136" s="346">
        <f ca="1">'Os juros sobre juros'!$D$403</f>
        <v>7076.0199999999886</v>
      </c>
      <c r="E136" s="346">
        <f ca="1">'Os juros sobre juros'!$E$403</f>
        <v>4872.1100690184994</v>
      </c>
      <c r="F136" s="249"/>
      <c r="G136" s="249"/>
      <c r="H136" s="346">
        <f ca="1">'Os juros sobre juros'!$H$403</f>
        <v>223.60223199999965</v>
      </c>
      <c r="I136" s="346">
        <f ca="1">'Os juros sobre juros'!$I$403</f>
        <v>0</v>
      </c>
      <c r="J136" s="346">
        <f ca="1">'Os juros sobre juros'!$J$403</f>
        <v>223.60223199999965</v>
      </c>
      <c r="K136" s="249"/>
      <c r="L136" s="346">
        <f ca="1">'Os juros sobre juros'!$L$403</f>
        <v>213.43569161556491</v>
      </c>
      <c r="M136" s="346">
        <f ca="1">'Os juros sobre juros'!$M$403</f>
        <v>6.7445678550518542</v>
      </c>
      <c r="N136" s="346">
        <f ca="1">'Os juros sobre juros'!$N$403</f>
        <v>220.18025947061676</v>
      </c>
      <c r="O136" s="233"/>
      <c r="P136" s="346">
        <f ca="1">'Os juros sobre juros'!$P$403</f>
        <v>203.58057298001356</v>
      </c>
      <c r="Q136" s="346">
        <f ca="1">'Os juros sobre juros'!$Q$403</f>
        <v>13.069579629291784</v>
      </c>
      <c r="R136" s="346">
        <f ca="1">'Os juros sobre juros'!$R$403</f>
        <v>216.65015260930537</v>
      </c>
      <c r="S136" s="125" t="s">
        <v>307</v>
      </c>
      <c r="T136" s="346">
        <f ca="1">'Os juros sobre juros'!$EU$403</f>
        <v>3401.1725149814979</v>
      </c>
      <c r="U136" s="346">
        <f ca="1">'Os juros sobre juros'!$EV$403</f>
        <v>1470.9375540370008</v>
      </c>
      <c r="V136" s="346">
        <f ca="1">'Os juros sobre juros'!$EW$403</f>
        <v>4872.1100690184994</v>
      </c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  <c r="DK136" s="38"/>
      <c r="DL136" s="38"/>
      <c r="DM136" s="38"/>
      <c r="DN136" s="38"/>
      <c r="DO136" s="38"/>
      <c r="DP136" s="38"/>
      <c r="DQ136" s="38"/>
      <c r="DR136" s="38"/>
      <c r="DS136" s="38"/>
      <c r="DT136" s="38"/>
      <c r="DU136" s="38"/>
      <c r="DV136" s="38"/>
      <c r="DW136" s="38"/>
      <c r="DX136" s="38"/>
      <c r="DY136" s="38"/>
      <c r="DZ136" s="38"/>
      <c r="EA136" s="38"/>
      <c r="EB136" s="38"/>
      <c r="EC136" s="38"/>
      <c r="ED136" s="38"/>
      <c r="EE136" s="38"/>
      <c r="EF136" s="38"/>
      <c r="EG136" s="38"/>
      <c r="EH136" s="38"/>
      <c r="EI136" s="38"/>
      <c r="EJ136" s="38"/>
      <c r="EK136" s="38"/>
      <c r="EL136" s="38"/>
      <c r="EM136" s="38"/>
      <c r="EN136" s="38"/>
      <c r="EO136" s="38"/>
      <c r="EP136" s="38"/>
      <c r="EQ136" s="38"/>
      <c r="ER136" s="38"/>
      <c r="ES136" s="38"/>
      <c r="ET136" s="38"/>
    </row>
    <row r="137" spans="2:150" s="38" customFormat="1" ht="15.95" customHeight="1" x14ac:dyDescent="0.25">
      <c r="B137" s="235"/>
      <c r="C137" s="131"/>
      <c r="D137" s="131"/>
      <c r="E137" s="131"/>
      <c r="F137" s="131"/>
      <c r="G137" s="235"/>
      <c r="H137" s="491">
        <f ca="1">'Os juros sobre juros'!$H$404</f>
        <v>223.60223199999965</v>
      </c>
      <c r="I137" s="491"/>
      <c r="J137" s="250"/>
      <c r="K137" s="251"/>
      <c r="L137" s="491">
        <f ca="1">'Os juros sobre juros'!$L$404</f>
        <v>220.18025947061676</v>
      </c>
      <c r="M137" s="491"/>
      <c r="N137" s="250"/>
      <c r="O137" s="251"/>
      <c r="P137" s="491">
        <f ca="1">'Os juros sobre juros'!$P$404</f>
        <v>216.65015260930534</v>
      </c>
      <c r="Q137" s="491"/>
      <c r="R137" s="250"/>
      <c r="S137" s="251"/>
      <c r="T137" s="491">
        <f ca="1">'Os juros sobre juros'!$EU$404</f>
        <v>4872.1100690184985</v>
      </c>
      <c r="U137" s="491"/>
      <c r="V137" s="235"/>
    </row>
    <row r="138" spans="2:150" s="38" customFormat="1" ht="15.95" customHeight="1" x14ac:dyDescent="0.25">
      <c r="B138" s="40"/>
      <c r="C138" s="121"/>
      <c r="D138" s="121"/>
      <c r="E138" s="121"/>
      <c r="F138" s="121"/>
      <c r="G138" s="40"/>
      <c r="H138" s="131"/>
      <c r="I138" s="131"/>
      <c r="J138" s="40"/>
      <c r="K138" s="40"/>
      <c r="L138" s="131"/>
      <c r="M138" s="131"/>
      <c r="N138" s="40"/>
      <c r="O138" s="40"/>
      <c r="P138" s="131"/>
      <c r="Q138" s="131"/>
      <c r="R138" s="40"/>
      <c r="S138" s="40"/>
      <c r="T138" s="131"/>
      <c r="U138" s="131"/>
      <c r="V138" s="40"/>
    </row>
    <row r="139" spans="2:150" ht="24.95" customHeight="1" x14ac:dyDescent="0.25">
      <c r="B139" s="384" t="s">
        <v>207</v>
      </c>
    </row>
    <row r="140" spans="2:150" s="38" customFormat="1" ht="15.95" customHeight="1" x14ac:dyDescent="0.25">
      <c r="B140" s="38" t="s">
        <v>283</v>
      </c>
    </row>
    <row r="141" spans="2:150" s="38" customFormat="1" ht="15.95" customHeight="1" x14ac:dyDescent="0.25">
      <c r="B141" s="38" t="s">
        <v>696</v>
      </c>
    </row>
    <row r="142" spans="2:150" s="38" customFormat="1" ht="15.95" customHeight="1" x14ac:dyDescent="0.25">
      <c r="B142" s="38" t="s">
        <v>736</v>
      </c>
    </row>
    <row r="143" spans="2:150" s="38" customFormat="1" ht="15.95" customHeight="1" x14ac:dyDescent="0.25">
      <c r="B143" s="38" t="s">
        <v>740</v>
      </c>
    </row>
    <row r="144" spans="2:150" s="38" customFormat="1" ht="15.95" customHeight="1" x14ac:dyDescent="0.25"/>
    <row r="145" spans="1:22" s="38" customFormat="1" ht="15.95" customHeight="1" x14ac:dyDescent="0.25">
      <c r="B145" s="38" t="s">
        <v>704</v>
      </c>
      <c r="E145" s="125">
        <f ca="1">'Os juros sobre juros'!$E$422</f>
        <v>4872.1100690184994</v>
      </c>
      <c r="G145" s="125">
        <f ca="1">'Os juros sobre juros'!$G$422</f>
        <v>3401.1725149814979</v>
      </c>
      <c r="I145" s="125">
        <f ca="1">'Os juros sobre juros'!$I$422</f>
        <v>1470.9375540370008</v>
      </c>
    </row>
    <row r="146" spans="1:22" s="38" customFormat="1" ht="15.95" customHeight="1" x14ac:dyDescent="0.25">
      <c r="E146" s="255" t="s">
        <v>705</v>
      </c>
      <c r="G146" s="255" t="s">
        <v>25</v>
      </c>
      <c r="I146" s="38" t="s">
        <v>26</v>
      </c>
    </row>
    <row r="147" spans="1:22" s="38" customFormat="1" ht="15.95" customHeight="1" x14ac:dyDescent="0.25">
      <c r="B147" s="38" t="s">
        <v>208</v>
      </c>
    </row>
    <row r="148" spans="1:22" s="38" customFormat="1" ht="15.95" customHeight="1" x14ac:dyDescent="0.25">
      <c r="B148" s="38" t="s">
        <v>209</v>
      </c>
    </row>
    <row r="149" spans="1:22" s="38" customFormat="1" ht="15.95" customHeight="1" x14ac:dyDescent="0.25">
      <c r="B149" s="38" t="s">
        <v>210</v>
      </c>
    </row>
    <row r="150" spans="1:22" s="38" customFormat="1" ht="15.95" customHeight="1" x14ac:dyDescent="0.25">
      <c r="B150" s="38" t="s">
        <v>746</v>
      </c>
    </row>
    <row r="151" spans="1:22" s="38" customFormat="1" ht="15.95" customHeight="1" x14ac:dyDescent="0.25">
      <c r="B151" s="38" t="s">
        <v>747</v>
      </c>
    </row>
    <row r="152" spans="1:22" s="38" customFormat="1" ht="15.95" customHeight="1" x14ac:dyDescent="0.25">
      <c r="B152" s="38" t="s">
        <v>211</v>
      </c>
    </row>
    <row r="153" spans="1:22" s="38" customFormat="1" ht="15.95" customHeight="1" x14ac:dyDescent="0.25">
      <c r="B153" s="38" t="s">
        <v>212</v>
      </c>
    </row>
    <row r="154" spans="1:22" s="38" customFormat="1" ht="15.95" customHeight="1" x14ac:dyDescent="0.25">
      <c r="B154" s="38" t="s">
        <v>731</v>
      </c>
    </row>
    <row r="155" spans="1:22" s="38" customFormat="1" ht="15.95" customHeight="1" x14ac:dyDescent="0.25">
      <c r="B155" s="38" t="s">
        <v>673</v>
      </c>
    </row>
    <row r="156" spans="1:22" s="38" customFormat="1" ht="15.95" customHeight="1" x14ac:dyDescent="0.25">
      <c r="B156" s="38" t="s">
        <v>213</v>
      </c>
    </row>
    <row r="157" spans="1:22" s="38" customFormat="1" ht="15.95" customHeight="1" x14ac:dyDescent="0.25">
      <c r="B157" s="40"/>
      <c r="E157" s="131"/>
      <c r="F157" s="131"/>
      <c r="H157" s="131"/>
      <c r="I157" s="131"/>
      <c r="K157" s="131"/>
      <c r="L157" s="131"/>
      <c r="N157" s="131"/>
      <c r="O157" s="131"/>
      <c r="Q157" s="131"/>
      <c r="R157" s="131"/>
      <c r="T157" s="119"/>
      <c r="U157" s="119"/>
      <c r="V157" s="119"/>
    </row>
    <row r="158" spans="1:22" s="38" customFormat="1" ht="24.95" customHeight="1" x14ac:dyDescent="0.25">
      <c r="A158" s="380" t="s">
        <v>733</v>
      </c>
      <c r="B158" s="82"/>
    </row>
    <row r="159" spans="1:22" s="38" customFormat="1" ht="15.95" customHeight="1" x14ac:dyDescent="0.25">
      <c r="B159" s="38" t="s">
        <v>373</v>
      </c>
    </row>
    <row r="160" spans="1:22" s="38" customFormat="1" ht="15.95" customHeight="1" x14ac:dyDescent="0.25"/>
    <row r="161" spans="1:10" s="38" customFormat="1" ht="24.95" customHeight="1" x14ac:dyDescent="0.25">
      <c r="B161" s="390" t="s">
        <v>133</v>
      </c>
    </row>
    <row r="162" spans="1:10" s="38" customFormat="1" ht="20.100000000000001" customHeight="1" x14ac:dyDescent="0.25">
      <c r="B162" s="101" t="s">
        <v>17</v>
      </c>
      <c r="C162" s="101" t="s">
        <v>18</v>
      </c>
      <c r="D162" s="101" t="s">
        <v>24</v>
      </c>
      <c r="E162" s="101" t="s">
        <v>299</v>
      </c>
    </row>
    <row r="163" spans="1:10" s="38" customFormat="1" ht="15.95" customHeight="1" x14ac:dyDescent="0.25">
      <c r="B163" s="125">
        <f>'Os juros sobre juros'!$E$46</f>
        <v>331.89250191718025</v>
      </c>
      <c r="C163" s="129">
        <f>'Os juros sobre juros'!$C$90</f>
        <v>11948.130069018489</v>
      </c>
      <c r="D163" s="129">
        <f>'Os juros sobre juros'!$E$31</f>
        <v>7076.02</v>
      </c>
      <c r="E163" s="129">
        <f>'Os juros sobre juros'!$E$90</f>
        <v>4872.1100690184885</v>
      </c>
    </row>
    <row r="164" spans="1:10" s="38" customFormat="1" ht="15.95" customHeight="1" x14ac:dyDescent="0.25"/>
    <row r="165" spans="1:10" s="38" customFormat="1" ht="15.95" customHeight="1" x14ac:dyDescent="0.25">
      <c r="B165" s="38" t="s">
        <v>537</v>
      </c>
    </row>
    <row r="166" spans="1:10" s="38" customFormat="1" ht="15.95" customHeight="1" x14ac:dyDescent="0.25">
      <c r="B166" s="38" t="s">
        <v>538</v>
      </c>
    </row>
    <row r="167" spans="1:10" s="38" customFormat="1" ht="15.95" customHeight="1" x14ac:dyDescent="0.25">
      <c r="A167" s="81"/>
      <c r="B167" s="82"/>
    </row>
    <row r="168" spans="1:10" s="38" customFormat="1" ht="24.95" customHeight="1" x14ac:dyDescent="0.25">
      <c r="B168" s="390" t="s">
        <v>285</v>
      </c>
    </row>
    <row r="169" spans="1:10" s="38" customFormat="1" ht="20.100000000000001" customHeight="1" x14ac:dyDescent="0.25">
      <c r="B169" s="485" t="s">
        <v>17</v>
      </c>
      <c r="C169" s="485" t="s">
        <v>18</v>
      </c>
      <c r="D169" s="485" t="s">
        <v>24</v>
      </c>
      <c r="E169" s="485" t="s">
        <v>38</v>
      </c>
      <c r="F169" s="485"/>
      <c r="G169" s="485"/>
    </row>
    <row r="170" spans="1:10" s="38" customFormat="1" ht="20.100000000000001" customHeight="1" x14ac:dyDescent="0.25">
      <c r="B170" s="485"/>
      <c r="C170" s="485"/>
      <c r="D170" s="485"/>
      <c r="E170" s="101" t="s">
        <v>25</v>
      </c>
      <c r="F170" s="101" t="s">
        <v>26</v>
      </c>
      <c r="G170" s="101" t="s">
        <v>99</v>
      </c>
    </row>
    <row r="171" spans="1:10" s="38" customFormat="1" ht="15.95" customHeight="1" x14ac:dyDescent="0.25">
      <c r="B171" s="125">
        <f>'Os juros sobre juros'!$B$520</f>
        <v>331.89250191718025</v>
      </c>
      <c r="C171" s="129">
        <f>'Os juros sobre juros'!$C$520</f>
        <v>11948.130069018489</v>
      </c>
      <c r="D171" s="129">
        <f>'Os juros sobre juros'!$D$520</f>
        <v>7076.02</v>
      </c>
      <c r="E171" s="129">
        <f ca="1">'Os juros sobre juros'!$E$520</f>
        <v>3401.1725149814979</v>
      </c>
      <c r="F171" s="129">
        <f ca="1">'Os juros sobre juros'!$F$520</f>
        <v>1470.9375540370008</v>
      </c>
      <c r="G171" s="129">
        <f ca="1">'Os juros sobre juros'!$G$520</f>
        <v>4872.1100690184994</v>
      </c>
    </row>
    <row r="172" spans="1:10" s="38" customFormat="1" ht="15.95" customHeight="1" x14ac:dyDescent="0.25">
      <c r="A172" s="81"/>
      <c r="B172" s="82"/>
    </row>
    <row r="173" spans="1:10" s="38" customFormat="1" ht="15.95" customHeight="1" x14ac:dyDescent="0.25">
      <c r="B173" s="38" t="s">
        <v>674</v>
      </c>
    </row>
    <row r="174" spans="1:10" s="38" customFormat="1" ht="15.95" customHeight="1" x14ac:dyDescent="0.25">
      <c r="B174" s="38" t="s">
        <v>675</v>
      </c>
    </row>
    <row r="175" spans="1:10" s="38" customFormat="1" ht="15.95" customHeight="1" x14ac:dyDescent="0.25">
      <c r="J175" s="135"/>
    </row>
    <row r="176" spans="1:10" s="38" customFormat="1" ht="23.1" customHeight="1" x14ac:dyDescent="0.25">
      <c r="C176" s="398">
        <f ca="1">'Os juros sobre juros'!$F$520</f>
        <v>1470.9375540370008</v>
      </c>
      <c r="J176" s="135"/>
    </row>
    <row r="177" spans="1:6" s="38" customFormat="1" ht="15.95" customHeight="1" x14ac:dyDescent="0.25"/>
    <row r="178" spans="1:6" s="43" customFormat="1" ht="24.95" customHeight="1" x14ac:dyDescent="0.25">
      <c r="A178" s="378" t="s">
        <v>741</v>
      </c>
    </row>
    <row r="179" spans="1:6" s="38" customFormat="1" ht="15.95" customHeight="1" x14ac:dyDescent="0.25"/>
    <row r="180" spans="1:6" s="38" customFormat="1" ht="24.95" customHeight="1" x14ac:dyDescent="0.25">
      <c r="A180" s="380" t="s">
        <v>738</v>
      </c>
    </row>
    <row r="181" spans="1:6" s="38" customFormat="1" ht="15.95" customHeight="1" x14ac:dyDescent="0.25">
      <c r="B181" s="38" t="s">
        <v>82</v>
      </c>
    </row>
    <row r="182" spans="1:6" s="38" customFormat="1" ht="15.95" customHeight="1" x14ac:dyDescent="0.25">
      <c r="B182" s="38" t="s">
        <v>308</v>
      </c>
    </row>
    <row r="183" spans="1:6" s="38" customFormat="1" ht="15.95" customHeight="1" x14ac:dyDescent="0.25">
      <c r="B183" s="38" t="s">
        <v>309</v>
      </c>
    </row>
    <row r="184" spans="1:6" s="38" customFormat="1" ht="15.95" customHeight="1" x14ac:dyDescent="0.25"/>
    <row r="185" spans="1:6" s="38" customFormat="1" ht="24.95" customHeight="1" x14ac:dyDescent="0.25">
      <c r="C185" s="384" t="s">
        <v>376</v>
      </c>
    </row>
    <row r="186" spans="1:6" s="38" customFormat="1" ht="15.95" customHeight="1" x14ac:dyDescent="0.25"/>
    <row r="187" spans="1:6" s="38" customFormat="1" ht="24.95" customHeight="1" x14ac:dyDescent="0.25">
      <c r="C187" s="390" t="s">
        <v>33</v>
      </c>
    </row>
    <row r="188" spans="1:6" s="38" customFormat="1" ht="15.95" customHeight="1" x14ac:dyDescent="0.25">
      <c r="C188" s="520" t="s">
        <v>2</v>
      </c>
      <c r="D188" s="520"/>
      <c r="E188" s="99" t="s">
        <v>3</v>
      </c>
      <c r="F188" s="147">
        <f>'O duodécuplo'!$F$97</f>
        <v>3.1600000000000003E-2</v>
      </c>
    </row>
    <row r="189" spans="1:6" s="38" customFormat="1" ht="15.95" customHeight="1" x14ac:dyDescent="0.25">
      <c r="C189" s="520" t="s">
        <v>7</v>
      </c>
      <c r="D189" s="520"/>
      <c r="E189" s="99" t="s">
        <v>8</v>
      </c>
      <c r="F189" s="147">
        <f>'O duodécuplo'!$F$98</f>
        <v>0.37919999999999998</v>
      </c>
    </row>
    <row r="190" spans="1:6" s="38" customFormat="1" ht="16.5" customHeight="1" x14ac:dyDescent="0.25">
      <c r="C190" s="520" t="s">
        <v>9</v>
      </c>
      <c r="D190" s="520"/>
      <c r="E190" s="99" t="s">
        <v>10</v>
      </c>
      <c r="F190" s="147">
        <f>'O duodécuplo'!$F$99</f>
        <v>0.45256600000000002</v>
      </c>
    </row>
    <row r="191" spans="1:6" s="38" customFormat="1" ht="15.95" customHeight="1" x14ac:dyDescent="0.25"/>
    <row r="192" spans="1:6" s="38" customFormat="1" ht="15.95" customHeight="1" x14ac:dyDescent="0.25">
      <c r="B192" s="38" t="s">
        <v>539</v>
      </c>
    </row>
    <row r="193" spans="2:15" s="38" customFormat="1" ht="15.95" customHeight="1" x14ac:dyDescent="0.25">
      <c r="B193" s="38" t="s">
        <v>737</v>
      </c>
    </row>
    <row r="194" spans="2:15" s="38" customFormat="1" ht="15.95" customHeight="1" x14ac:dyDescent="0.25">
      <c r="B194" s="136"/>
      <c r="C194" s="136"/>
      <c r="D194" s="121"/>
      <c r="E194" s="122"/>
    </row>
    <row r="195" spans="2:15" s="38" customFormat="1" ht="24.95" customHeight="1" x14ac:dyDescent="0.25">
      <c r="B195" s="390" t="s">
        <v>336</v>
      </c>
      <c r="I195" s="53"/>
    </row>
    <row r="196" spans="2:15" s="38" customFormat="1" ht="20.100000000000001" customHeight="1" x14ac:dyDescent="0.25">
      <c r="B196" s="486" t="s">
        <v>19</v>
      </c>
      <c r="C196" s="486" t="s">
        <v>17</v>
      </c>
      <c r="D196" s="486" t="s">
        <v>20</v>
      </c>
      <c r="E196" s="490" t="s">
        <v>135</v>
      </c>
      <c r="F196" s="490"/>
      <c r="G196" s="490" t="s">
        <v>167</v>
      </c>
      <c r="H196" s="490"/>
      <c r="J196" s="490" t="s">
        <v>25</v>
      </c>
      <c r="K196" s="490"/>
      <c r="M196" s="490" t="s">
        <v>26</v>
      </c>
      <c r="N196" s="490"/>
    </row>
    <row r="197" spans="2:15" s="38" customFormat="1" ht="20.100000000000001" customHeight="1" x14ac:dyDescent="0.25">
      <c r="B197" s="486"/>
      <c r="C197" s="486"/>
      <c r="D197" s="486"/>
      <c r="E197" s="100" t="s">
        <v>63</v>
      </c>
      <c r="F197" s="100" t="s">
        <v>134</v>
      </c>
      <c r="G197" s="100" t="s">
        <v>63</v>
      </c>
      <c r="H197" s="100" t="s">
        <v>134</v>
      </c>
      <c r="J197" s="100" t="s">
        <v>63</v>
      </c>
      <c r="K197" s="100" t="s">
        <v>134</v>
      </c>
      <c r="M197" s="100" t="s">
        <v>63</v>
      </c>
      <c r="N197" s="100" t="s">
        <v>134</v>
      </c>
    </row>
    <row r="198" spans="2:15" s="38" customFormat="1" ht="15.95" customHeight="1" x14ac:dyDescent="0.25">
      <c r="B198" s="137">
        <f>'Os juros sobre juros'!$B$378</f>
        <v>12</v>
      </c>
      <c r="C198" s="125">
        <f>'Os juros sobre juros'!$C$378</f>
        <v>331.89250191718025</v>
      </c>
      <c r="D198" s="138">
        <f>'Os juros sobre juros'!$D$378</f>
        <v>228.48697048904467</v>
      </c>
      <c r="E198" s="138">
        <f>'Os juros sobre juros'!$K$378</f>
        <v>7.2201882674538123</v>
      </c>
      <c r="F198" s="139">
        <f>E198/D198</f>
        <v>3.1600000000000003E-2</v>
      </c>
      <c r="G198" s="138">
        <f>'Os juros sobre juros'!$E$378</f>
        <v>103.40553142813559</v>
      </c>
      <c r="H198" s="139">
        <f>G198/D198</f>
        <v>0.45256642515242945</v>
      </c>
      <c r="J198" s="138">
        <f>'Os juros sobre juros'!$EU$378</f>
        <v>86.64225920944574</v>
      </c>
      <c r="K198" s="139">
        <f>J198/D198</f>
        <v>0.37920000000000004</v>
      </c>
      <c r="M198" s="138">
        <f>'Os juros sobre juros'!$EV$378</f>
        <v>16.763272218689849</v>
      </c>
      <c r="N198" s="140">
        <f>M198/D198</f>
        <v>7.3366425152429443E-2</v>
      </c>
    </row>
    <row r="199" spans="2:15" s="38" customFormat="1" ht="15.95" customHeight="1" x14ac:dyDescent="0.25">
      <c r="D199" s="527" t="s">
        <v>237</v>
      </c>
      <c r="E199" s="529" t="s">
        <v>236</v>
      </c>
      <c r="F199" s="530"/>
      <c r="G199" s="494" t="s">
        <v>80</v>
      </c>
      <c r="H199" s="495"/>
      <c r="J199" s="498" t="s">
        <v>81</v>
      </c>
      <c r="K199" s="499"/>
      <c r="M199" s="498" t="s">
        <v>79</v>
      </c>
      <c r="N199" s="498"/>
      <c r="O199" s="54"/>
    </row>
    <row r="200" spans="2:15" s="38" customFormat="1" ht="15.95" customHeight="1" x14ac:dyDescent="0.25">
      <c r="D200" s="528"/>
      <c r="E200" s="531"/>
      <c r="F200" s="532"/>
      <c r="G200" s="496"/>
      <c r="H200" s="497"/>
      <c r="J200" s="499"/>
      <c r="K200" s="499"/>
      <c r="M200" s="498"/>
      <c r="N200" s="498"/>
    </row>
    <row r="201" spans="2:15" ht="15.95" customHeight="1" x14ac:dyDescent="0.25"/>
    <row r="202" spans="2:15" ht="15.95" customHeight="1" x14ac:dyDescent="0.25">
      <c r="B202" s="43" t="s">
        <v>618</v>
      </c>
    </row>
    <row r="203" spans="2:15" s="43" customFormat="1" ht="15.95" customHeight="1" x14ac:dyDescent="0.25">
      <c r="C203" s="3"/>
      <c r="D203" s="262"/>
    </row>
    <row r="204" spans="2:15" ht="15.95" customHeight="1" x14ac:dyDescent="0.25">
      <c r="C204" s="13">
        <f>$D$198</f>
        <v>228.48697048904467</v>
      </c>
      <c r="D204" s="20" t="s">
        <v>313</v>
      </c>
    </row>
    <row r="205" spans="2:15" ht="15.95" customHeight="1" x14ac:dyDescent="0.25">
      <c r="C205" s="13">
        <f>$E$198</f>
        <v>7.2201882674538123</v>
      </c>
      <c r="D205" s="20" t="s">
        <v>168</v>
      </c>
    </row>
    <row r="206" spans="2:15" ht="15.95" customHeight="1" x14ac:dyDescent="0.25">
      <c r="C206" s="13">
        <f>$J$198</f>
        <v>86.64225920944574</v>
      </c>
      <c r="D206" s="55" t="s">
        <v>294</v>
      </c>
    </row>
    <row r="207" spans="2:15" ht="15.95" customHeight="1" x14ac:dyDescent="0.25">
      <c r="C207" s="13">
        <f>$G$198</f>
        <v>103.40553142813559</v>
      </c>
      <c r="D207" s="20" t="s">
        <v>293</v>
      </c>
    </row>
    <row r="208" spans="2:15" ht="15.95" customHeight="1" x14ac:dyDescent="0.25">
      <c r="C208" s="13">
        <f>$M$198</f>
        <v>16.763272218689849</v>
      </c>
      <c r="D208" s="55" t="s">
        <v>322</v>
      </c>
    </row>
    <row r="209" spans="2:15" s="43" customFormat="1" ht="15.95" customHeight="1" x14ac:dyDescent="0.25">
      <c r="C209" s="3"/>
      <c r="D209" s="262"/>
    </row>
    <row r="210" spans="2:15" s="43" customFormat="1" ht="24.95" customHeight="1" x14ac:dyDescent="0.25">
      <c r="B210" s="384" t="s">
        <v>670</v>
      </c>
      <c r="C210" s="3"/>
      <c r="D210" s="262"/>
    </row>
    <row r="211" spans="2:15" s="38" customFormat="1" ht="15.95" customHeight="1" x14ac:dyDescent="0.25">
      <c r="I211" s="43"/>
      <c r="J211" s="43"/>
      <c r="K211" s="43"/>
      <c r="L211" s="43"/>
    </row>
    <row r="212" spans="2:15" s="38" customFormat="1" ht="15.95" customHeight="1" x14ac:dyDescent="0.25">
      <c r="B212" s="38" t="s">
        <v>286</v>
      </c>
      <c r="H212" s="141">
        <f>$E$198</f>
        <v>7.2201882674538123</v>
      </c>
      <c r="I212" s="43"/>
      <c r="J212" s="141">
        <f>$D$198</f>
        <v>228.48697048904467</v>
      </c>
      <c r="K212" s="43"/>
      <c r="L212" s="139">
        <f>$F$198</f>
        <v>3.1600000000000003E-2</v>
      </c>
    </row>
    <row r="213" spans="2:15" s="38" customFormat="1" ht="15.95" customHeight="1" x14ac:dyDescent="0.25">
      <c r="B213" s="38" t="s">
        <v>325</v>
      </c>
      <c r="H213" s="117" t="s">
        <v>280</v>
      </c>
      <c r="J213" s="117" t="s">
        <v>276</v>
      </c>
      <c r="L213" s="117" t="s">
        <v>281</v>
      </c>
    </row>
    <row r="214" spans="2:15" s="38" customFormat="1" ht="15.95" customHeight="1" x14ac:dyDescent="0.25">
      <c r="I214" s="43"/>
      <c r="J214" s="43"/>
      <c r="K214" s="43"/>
      <c r="L214" s="43"/>
    </row>
    <row r="215" spans="2:15" s="38" customFormat="1" ht="15.95" customHeight="1" x14ac:dyDescent="0.25">
      <c r="B215" s="38" t="s">
        <v>296</v>
      </c>
      <c r="H215" s="141">
        <f>$J$198</f>
        <v>86.64225920944574</v>
      </c>
      <c r="I215" s="43"/>
      <c r="J215" s="141">
        <f>$D$198</f>
        <v>228.48697048904467</v>
      </c>
      <c r="K215" s="43"/>
      <c r="L215" s="139">
        <f>$K$198</f>
        <v>0.37920000000000004</v>
      </c>
    </row>
    <row r="216" spans="2:15" s="38" customFormat="1" ht="15.95" customHeight="1" x14ac:dyDescent="0.25">
      <c r="H216" s="117" t="s">
        <v>278</v>
      </c>
      <c r="I216" s="43"/>
      <c r="J216" s="117" t="s">
        <v>276</v>
      </c>
      <c r="K216" s="43"/>
      <c r="L216" s="117" t="s">
        <v>279</v>
      </c>
    </row>
    <row r="217" spans="2:15" s="38" customFormat="1" ht="15.95" customHeight="1" x14ac:dyDescent="0.25"/>
    <row r="218" spans="2:15" s="38" customFormat="1" ht="15.95" customHeight="1" x14ac:dyDescent="0.25">
      <c r="B218" s="38" t="s">
        <v>323</v>
      </c>
      <c r="H218" s="141">
        <f>$G$198</f>
        <v>103.40553142813559</v>
      </c>
      <c r="I218" s="43"/>
      <c r="J218" s="141">
        <f>$D$198</f>
        <v>228.48697048904467</v>
      </c>
      <c r="K218" s="43"/>
      <c r="L218" s="139">
        <f>$H$198</f>
        <v>0.45256642515242945</v>
      </c>
    </row>
    <row r="219" spans="2:15" s="38" customFormat="1" ht="15.95" customHeight="1" x14ac:dyDescent="0.25">
      <c r="H219" s="117" t="s">
        <v>275</v>
      </c>
      <c r="I219" s="43"/>
      <c r="J219" s="117" t="s">
        <v>276</v>
      </c>
      <c r="K219" s="43"/>
      <c r="L219" s="117" t="s">
        <v>277</v>
      </c>
    </row>
    <row r="220" spans="2:15" s="43" customFormat="1" ht="15.95" customHeight="1" x14ac:dyDescent="0.25">
      <c r="I220" s="117"/>
      <c r="K220" s="117"/>
      <c r="M220" s="117"/>
    </row>
    <row r="221" spans="2:15" s="43" customFormat="1" ht="24.95" customHeight="1" x14ac:dyDescent="0.25">
      <c r="B221" s="384" t="s">
        <v>671</v>
      </c>
      <c r="I221" s="117"/>
      <c r="K221" s="117"/>
      <c r="M221" s="117"/>
    </row>
    <row r="222" spans="2:15" s="38" customFormat="1" ht="15.95" customHeight="1" x14ac:dyDescent="0.25"/>
    <row r="223" spans="2:15" s="38" customFormat="1" ht="15.95" customHeight="1" x14ac:dyDescent="0.25">
      <c r="B223" s="38" t="s">
        <v>297</v>
      </c>
      <c r="H223" s="125">
        <f>$J$198</f>
        <v>86.64225920944574</v>
      </c>
      <c r="I223" s="143" t="s">
        <v>169</v>
      </c>
    </row>
    <row r="224" spans="2:15" s="38" customFormat="1" ht="15.95" customHeight="1" x14ac:dyDescent="0.25">
      <c r="B224" s="38" t="s">
        <v>174</v>
      </c>
      <c r="H224" s="125">
        <f>$E$198*12</f>
        <v>86.64225920944574</v>
      </c>
      <c r="I224" s="144" t="s">
        <v>569</v>
      </c>
      <c r="M224" s="125">
        <f>$E$198</f>
        <v>7.2201882674538123</v>
      </c>
      <c r="O224" s="142">
        <v>12</v>
      </c>
    </row>
    <row r="225" spans="1:15" s="38" customFormat="1" ht="15.95" customHeight="1" x14ac:dyDescent="0.25"/>
    <row r="226" spans="1:15" s="38" customFormat="1" ht="15.95" customHeight="1" x14ac:dyDescent="0.25">
      <c r="B226" s="38" t="s">
        <v>298</v>
      </c>
      <c r="H226" s="125">
        <f>$G$198</f>
        <v>103.40553142813559</v>
      </c>
      <c r="I226" s="143" t="s">
        <v>170</v>
      </c>
    </row>
    <row r="227" spans="1:15" s="38" customFormat="1" ht="15.95" customHeight="1" x14ac:dyDescent="0.25">
      <c r="B227" s="38" t="s">
        <v>174</v>
      </c>
      <c r="H227" s="125">
        <f>$E$198*12</f>
        <v>86.64225920944574</v>
      </c>
      <c r="I227" s="144" t="s">
        <v>569</v>
      </c>
      <c r="M227" s="125">
        <f>$E$198</f>
        <v>7.2201882674538123</v>
      </c>
      <c r="O227" s="142">
        <v>12</v>
      </c>
    </row>
    <row r="228" spans="1:15" s="38" customFormat="1" ht="15.95" customHeight="1" x14ac:dyDescent="0.25">
      <c r="H228" s="125">
        <f>H226-H227</f>
        <v>16.763272218689849</v>
      </c>
      <c r="I228" s="145" t="s">
        <v>171</v>
      </c>
    </row>
    <row r="229" spans="1:15" s="38" customFormat="1" ht="15.95" customHeight="1" x14ac:dyDescent="0.25">
      <c r="I229" s="143"/>
    </row>
    <row r="230" spans="1:15" s="38" customFormat="1" ht="15.95" customHeight="1" x14ac:dyDescent="0.25">
      <c r="B230" s="38" t="s">
        <v>172</v>
      </c>
      <c r="H230" s="125">
        <f>$M$198</f>
        <v>16.763272218689849</v>
      </c>
      <c r="I230" s="145" t="s">
        <v>173</v>
      </c>
    </row>
    <row r="231" spans="1:15" s="38" customFormat="1" ht="15.95" customHeight="1" x14ac:dyDescent="0.25"/>
    <row r="232" spans="1:15" s="38" customFormat="1" ht="24.95" customHeight="1" x14ac:dyDescent="0.25">
      <c r="A232" s="380" t="s">
        <v>861</v>
      </c>
    </row>
    <row r="233" spans="1:15" s="43" customFormat="1" ht="15.95" customHeight="1" x14ac:dyDescent="0.25">
      <c r="B233" s="43" t="s">
        <v>238</v>
      </c>
    </row>
    <row r="234" spans="1:15" s="43" customFormat="1" ht="15.95" customHeight="1" x14ac:dyDescent="0.25">
      <c r="B234" s="43" t="s">
        <v>527</v>
      </c>
    </row>
    <row r="235" spans="1:15" s="43" customFormat="1" ht="15.95" customHeight="1" x14ac:dyDescent="0.25">
      <c r="B235" s="43" t="s">
        <v>345</v>
      </c>
    </row>
    <row r="236" spans="1:15" s="43" customFormat="1" ht="15.95" customHeight="1" x14ac:dyDescent="0.25">
      <c r="B236" s="43" t="s">
        <v>346</v>
      </c>
    </row>
    <row r="237" spans="1:15" s="43" customFormat="1" ht="15.95" customHeight="1" x14ac:dyDescent="0.25">
      <c r="B237" s="43" t="s">
        <v>379</v>
      </c>
    </row>
    <row r="238" spans="1:15" s="43" customFormat="1" ht="15.95" customHeight="1" x14ac:dyDescent="0.25"/>
    <row r="239" spans="1:15" s="43" customFormat="1" ht="20.100000000000001" customHeight="1" x14ac:dyDescent="0.25">
      <c r="C239" s="146" t="s">
        <v>529</v>
      </c>
    </row>
    <row r="240" spans="1:15" s="43" customFormat="1" ht="20.100000000000001" customHeight="1" x14ac:dyDescent="0.25">
      <c r="C240" s="146" t="s">
        <v>516</v>
      </c>
    </row>
    <row r="241" spans="2:3" s="43" customFormat="1" ht="20.100000000000001" customHeight="1" x14ac:dyDescent="0.25">
      <c r="C241" s="146" t="s">
        <v>482</v>
      </c>
    </row>
    <row r="242" spans="2:3" s="43" customFormat="1" ht="20.100000000000001" customHeight="1" x14ac:dyDescent="0.25">
      <c r="C242" s="146" t="s">
        <v>528</v>
      </c>
    </row>
    <row r="243" spans="2:3" customFormat="1" ht="15.95" customHeight="1" x14ac:dyDescent="0.25"/>
    <row r="244" spans="2:3" customFormat="1" ht="15.95" customHeight="1" x14ac:dyDescent="0.25">
      <c r="B244" s="476" t="s">
        <v>952</v>
      </c>
    </row>
    <row r="245" spans="2:3" customFormat="1" ht="15.95" customHeight="1" x14ac:dyDescent="0.25">
      <c r="B245" t="s">
        <v>953</v>
      </c>
    </row>
    <row r="246" spans="2:3" customFormat="1" ht="15.95" customHeight="1" x14ac:dyDescent="0.25">
      <c r="B246" t="s">
        <v>954</v>
      </c>
    </row>
    <row r="247" spans="2:3" customFormat="1" ht="15.95" customHeight="1" x14ac:dyDescent="0.25">
      <c r="B247" t="s">
        <v>955</v>
      </c>
    </row>
    <row r="248" spans="2:3" customFormat="1" ht="15.95" customHeight="1" x14ac:dyDescent="0.25">
      <c r="B248" t="s">
        <v>956</v>
      </c>
    </row>
    <row r="249" spans="2:3" customFormat="1" ht="15.95" customHeight="1" x14ac:dyDescent="0.25">
      <c r="B249" t="s">
        <v>957</v>
      </c>
    </row>
    <row r="250" spans="2:3" customFormat="1" ht="15.95" customHeight="1" x14ac:dyDescent="0.25"/>
    <row r="251" spans="2:3" customFormat="1" ht="15.95" customHeight="1" x14ac:dyDescent="0.25">
      <c r="B251" s="476" t="s">
        <v>958</v>
      </c>
    </row>
    <row r="252" spans="2:3" s="43" customFormat="1" ht="15.95" customHeight="1" x14ac:dyDescent="0.25">
      <c r="B252" s="43" t="s">
        <v>541</v>
      </c>
    </row>
    <row r="253" spans="2:3" ht="15.95" customHeight="1" x14ac:dyDescent="0.25">
      <c r="B253" s="342" t="s">
        <v>694</v>
      </c>
    </row>
    <row r="254" spans="2:3" ht="15.95" customHeight="1" x14ac:dyDescent="0.25">
      <c r="B254" s="342" t="s">
        <v>695</v>
      </c>
    </row>
    <row r="255" spans="2:3" ht="15.95" customHeight="1" x14ac:dyDescent="0.25">
      <c r="B255" s="12" t="s">
        <v>727</v>
      </c>
    </row>
    <row r="256" spans="2:3" s="38" customFormat="1" ht="15.95" customHeight="1" x14ac:dyDescent="0.25"/>
    <row r="257" spans="1:2" s="43" customFormat="1" ht="24.95" customHeight="1" x14ac:dyDescent="0.25">
      <c r="A257" s="378" t="s">
        <v>458</v>
      </c>
    </row>
    <row r="258" spans="1:2" s="119" customFormat="1" ht="15.95" customHeight="1" x14ac:dyDescent="0.25">
      <c r="A258" s="39"/>
    </row>
    <row r="259" spans="1:2" s="38" customFormat="1" ht="24.95" customHeight="1" x14ac:dyDescent="0.25">
      <c r="A259" s="380" t="s">
        <v>459</v>
      </c>
    </row>
    <row r="260" spans="1:2" s="38" customFormat="1" ht="15.95" customHeight="1" x14ac:dyDescent="0.25">
      <c r="B260" s="38" t="s">
        <v>392</v>
      </c>
    </row>
    <row r="261" spans="1:2" s="38" customFormat="1" ht="15.95" customHeight="1" x14ac:dyDescent="0.25">
      <c r="B261" s="38" t="s">
        <v>393</v>
      </c>
    </row>
    <row r="262" spans="1:2" s="38" customFormat="1" ht="15.95" customHeight="1" x14ac:dyDescent="0.25">
      <c r="B262" s="38" t="s">
        <v>390</v>
      </c>
    </row>
    <row r="263" spans="1:2" s="38" customFormat="1" ht="15.95" customHeight="1" x14ac:dyDescent="0.25">
      <c r="B263" s="38" t="s">
        <v>391</v>
      </c>
    </row>
    <row r="264" spans="1:2" s="38" customFormat="1" ht="15.95" customHeight="1" x14ac:dyDescent="0.25"/>
    <row r="265" spans="1:2" s="38" customFormat="1" ht="24.95" customHeight="1" x14ac:dyDescent="0.25">
      <c r="B265" s="384" t="s">
        <v>380</v>
      </c>
    </row>
    <row r="266" spans="1:2" s="38" customFormat="1" ht="15.95" customHeight="1" x14ac:dyDescent="0.25">
      <c r="B266" s="38" t="s">
        <v>443</v>
      </c>
    </row>
    <row r="267" spans="1:2" s="38" customFormat="1" ht="15.95" customHeight="1" x14ac:dyDescent="0.25">
      <c r="B267" s="38" t="s">
        <v>381</v>
      </c>
    </row>
    <row r="268" spans="1:2" s="38" customFormat="1" ht="15.95" customHeight="1" x14ac:dyDescent="0.25">
      <c r="B268" s="38" t="s">
        <v>382</v>
      </c>
    </row>
    <row r="269" spans="1:2" s="38" customFormat="1" ht="15.95" customHeight="1" x14ac:dyDescent="0.25">
      <c r="B269" s="38" t="s">
        <v>383</v>
      </c>
    </row>
    <row r="270" spans="1:2" s="38" customFormat="1" ht="15.95" customHeight="1" x14ac:dyDescent="0.25">
      <c r="B270" s="38" t="s">
        <v>384</v>
      </c>
    </row>
    <row r="271" spans="1:2" s="38" customFormat="1" ht="15.95" customHeight="1" x14ac:dyDescent="0.25">
      <c r="B271" s="38" t="s">
        <v>385</v>
      </c>
    </row>
    <row r="272" spans="1:2" s="38" customFormat="1" ht="15.95" customHeight="1" x14ac:dyDescent="0.25">
      <c r="B272" s="38" t="s">
        <v>386</v>
      </c>
    </row>
    <row r="273" spans="1:2" s="38" customFormat="1" ht="15.95" customHeight="1" x14ac:dyDescent="0.25">
      <c r="B273" s="38" t="s">
        <v>387</v>
      </c>
    </row>
    <row r="274" spans="1:2" s="38" customFormat="1" ht="15.95" customHeight="1" x14ac:dyDescent="0.25">
      <c r="B274" s="38" t="s">
        <v>388</v>
      </c>
    </row>
    <row r="275" spans="1:2" s="38" customFormat="1" ht="15.95" customHeight="1" x14ac:dyDescent="0.25">
      <c r="B275" s="38" t="s">
        <v>389</v>
      </c>
    </row>
    <row r="276" spans="1:2" s="38" customFormat="1" ht="15.95" customHeight="1" x14ac:dyDescent="0.25"/>
    <row r="277" spans="1:2" s="38" customFormat="1" ht="15.95" customHeight="1" x14ac:dyDescent="0.25">
      <c r="B277" s="38" t="s">
        <v>394</v>
      </c>
    </row>
    <row r="278" spans="1:2" s="38" customFormat="1" ht="15.95" customHeight="1" x14ac:dyDescent="0.25">
      <c r="B278" s="38" t="s">
        <v>432</v>
      </c>
    </row>
    <row r="279" spans="1:2" s="38" customFormat="1" ht="15.95" customHeight="1" x14ac:dyDescent="0.25">
      <c r="B279" s="38" t="s">
        <v>934</v>
      </c>
    </row>
    <row r="280" spans="1:2" s="38" customFormat="1" ht="15.95" customHeight="1" x14ac:dyDescent="0.25">
      <c r="B280" s="38" t="s">
        <v>935</v>
      </c>
    </row>
    <row r="281" spans="1:2" s="38" customFormat="1" ht="15.95" customHeight="1" x14ac:dyDescent="0.25"/>
    <row r="282" spans="1:2" s="38" customFormat="1" ht="15.95" customHeight="1" x14ac:dyDescent="0.25">
      <c r="B282" s="38" t="s">
        <v>932</v>
      </c>
    </row>
    <row r="283" spans="1:2" s="38" customFormat="1" ht="15.95" customHeight="1" x14ac:dyDescent="0.25">
      <c r="B283" s="38" t="s">
        <v>933</v>
      </c>
    </row>
    <row r="284" spans="1:2" s="38" customFormat="1" ht="15.95" customHeight="1" x14ac:dyDescent="0.25"/>
    <row r="285" spans="1:2" s="109" customFormat="1" ht="24.95" customHeight="1" x14ac:dyDescent="0.25">
      <c r="A285" s="380" t="s">
        <v>530</v>
      </c>
    </row>
    <row r="286" spans="1:2" s="111" customFormat="1" ht="15.95" customHeight="1" x14ac:dyDescent="0.25">
      <c r="A286" s="44"/>
      <c r="B286" s="111" t="s">
        <v>603</v>
      </c>
    </row>
    <row r="287" spans="1:2" s="111" customFormat="1" ht="15.95" customHeight="1" x14ac:dyDescent="0.25">
      <c r="A287" s="44"/>
      <c r="B287" s="111" t="s">
        <v>395</v>
      </c>
    </row>
    <row r="288" spans="1:2" s="111" customFormat="1" ht="15.95" customHeight="1" x14ac:dyDescent="0.25">
      <c r="A288" s="44"/>
      <c r="B288" s="111" t="s">
        <v>630</v>
      </c>
    </row>
    <row r="289" spans="1:6" s="111" customFormat="1" ht="15.95" customHeight="1" x14ac:dyDescent="0.25">
      <c r="A289" s="44"/>
      <c r="B289" s="111" t="s">
        <v>540</v>
      </c>
    </row>
    <row r="290" spans="1:6" s="79" customFormat="1" ht="15.95" customHeight="1" x14ac:dyDescent="0.25"/>
    <row r="291" spans="1:6" s="43" customFormat="1" ht="24.95" customHeight="1" x14ac:dyDescent="0.25">
      <c r="B291" s="384" t="s">
        <v>446</v>
      </c>
    </row>
    <row r="292" spans="1:6" s="43" customFormat="1" ht="15.95" customHeight="1" x14ac:dyDescent="0.25">
      <c r="A292" s="83"/>
      <c r="B292" s="43" t="s">
        <v>424</v>
      </c>
    </row>
    <row r="293" spans="1:6" s="43" customFormat="1" ht="15.95" customHeight="1" x14ac:dyDescent="0.25">
      <c r="A293" s="83"/>
      <c r="B293" s="43" t="s">
        <v>184</v>
      </c>
    </row>
    <row r="294" spans="1:6" s="43" customFormat="1" ht="15.95" customHeight="1" x14ac:dyDescent="0.25">
      <c r="A294" s="83"/>
      <c r="B294" s="43" t="s">
        <v>335</v>
      </c>
    </row>
    <row r="295" spans="1:6" s="38" customFormat="1" ht="15.95" customHeight="1" x14ac:dyDescent="0.25"/>
    <row r="296" spans="1:6" s="149" customFormat="1" ht="24.95" customHeight="1" x14ac:dyDescent="0.25">
      <c r="A296" s="148"/>
      <c r="C296" s="384" t="s">
        <v>444</v>
      </c>
    </row>
    <row r="297" spans="1:6" s="111" customFormat="1" ht="15.95" customHeight="1" x14ac:dyDescent="0.25">
      <c r="A297" s="44"/>
      <c r="C297" s="111" t="s">
        <v>604</v>
      </c>
    </row>
    <row r="298" spans="1:6" s="111" customFormat="1" ht="15.95" customHeight="1" x14ac:dyDescent="0.25">
      <c r="A298" s="44"/>
      <c r="C298" s="111" t="s">
        <v>434</v>
      </c>
    </row>
    <row r="299" spans="1:6" s="79" customFormat="1" ht="15.95" customHeight="1" x14ac:dyDescent="0.25">
      <c r="C299" s="79" t="s">
        <v>198</v>
      </c>
      <c r="D299" s="150"/>
      <c r="E299" s="150"/>
    </row>
    <row r="300" spans="1:6" s="79" customFormat="1" ht="15.95" customHeight="1" x14ac:dyDescent="0.25">
      <c r="C300" s="79" t="s">
        <v>927</v>
      </c>
      <c r="D300" s="150"/>
      <c r="E300" s="150"/>
    </row>
    <row r="301" spans="1:6" s="79" customFormat="1" ht="15.95" customHeight="1" x14ac:dyDescent="0.25"/>
    <row r="302" spans="1:6" s="38" customFormat="1" ht="24.95" customHeight="1" x14ac:dyDescent="0.25">
      <c r="C302" s="390" t="s">
        <v>133</v>
      </c>
    </row>
    <row r="303" spans="1:6" s="38" customFormat="1" ht="20.100000000000001" customHeight="1" x14ac:dyDescent="0.25">
      <c r="C303" s="101" t="s">
        <v>17</v>
      </c>
      <c r="D303" s="101" t="s">
        <v>18</v>
      </c>
      <c r="E303" s="101" t="s">
        <v>24</v>
      </c>
      <c r="F303" s="101" t="s">
        <v>299</v>
      </c>
    </row>
    <row r="304" spans="1:6" s="38" customFormat="1" ht="15.95" customHeight="1" x14ac:dyDescent="0.25">
      <c r="C304" s="125">
        <f>'Os juros sobre juros'!$E$46</f>
        <v>331.89250191718025</v>
      </c>
      <c r="D304" s="129">
        <f>'Os juros sobre juros'!$C$90</f>
        <v>11948.130069018489</v>
      </c>
      <c r="E304" s="129">
        <f>'Os juros sobre juros'!$E$31</f>
        <v>7076.02</v>
      </c>
      <c r="F304" s="129">
        <f>'Os juros sobre juros'!$E$90</f>
        <v>4872.1100690184885</v>
      </c>
    </row>
    <row r="305" spans="1:7" s="38" customFormat="1" ht="15.95" customHeight="1" x14ac:dyDescent="0.25"/>
    <row r="306" spans="1:7" s="43" customFormat="1" ht="15.95" customHeight="1" x14ac:dyDescent="0.25">
      <c r="A306" s="83"/>
      <c r="B306" s="43" t="s">
        <v>291</v>
      </c>
    </row>
    <row r="307" spans="1:7" s="43" customFormat="1" ht="15.95" customHeight="1" x14ac:dyDescent="0.25">
      <c r="A307" s="83"/>
      <c r="B307" s="43" t="s">
        <v>425</v>
      </c>
    </row>
    <row r="308" spans="1:7" s="43" customFormat="1" ht="15.95" customHeight="1" x14ac:dyDescent="0.25">
      <c r="A308" s="83"/>
      <c r="B308" s="43" t="s">
        <v>183</v>
      </c>
    </row>
    <row r="309" spans="1:7" s="79" customFormat="1" ht="15.95" customHeight="1" x14ac:dyDescent="0.25"/>
    <row r="310" spans="1:7" s="38" customFormat="1" ht="24.95" customHeight="1" x14ac:dyDescent="0.25">
      <c r="B310" s="390" t="s">
        <v>518</v>
      </c>
    </row>
    <row r="311" spans="1:7" s="38" customFormat="1" ht="20.100000000000001" customHeight="1" x14ac:dyDescent="0.25">
      <c r="B311" s="370"/>
      <c r="C311" s="235"/>
      <c r="D311" s="485" t="s">
        <v>120</v>
      </c>
      <c r="E311" s="485"/>
      <c r="F311" s="485"/>
      <c r="G311" s="251"/>
    </row>
    <row r="312" spans="1:7" s="38" customFormat="1" ht="20.100000000000001" customHeight="1" x14ac:dyDescent="0.25">
      <c r="B312" s="363"/>
      <c r="C312" s="40"/>
      <c r="D312" s="361" t="s">
        <v>18</v>
      </c>
      <c r="E312" s="361" t="s">
        <v>38</v>
      </c>
      <c r="F312" s="361" t="s">
        <v>24</v>
      </c>
      <c r="G312" s="364"/>
    </row>
    <row r="313" spans="1:7" s="38" customFormat="1" ht="15.95" customHeight="1" x14ac:dyDescent="0.25">
      <c r="B313" s="363"/>
      <c r="C313" s="40"/>
      <c r="D313" s="154">
        <f>'Evolução saldo devedor'!$D$70</f>
        <v>11948.130069018489</v>
      </c>
      <c r="E313" s="154">
        <f>'Evolução saldo devedor'!$E$70</f>
        <v>4872.1100690184885</v>
      </c>
      <c r="F313" s="154">
        <f>'Evolução saldo devedor'!$F$70</f>
        <v>7076.02</v>
      </c>
      <c r="G313" s="364"/>
    </row>
    <row r="314" spans="1:7" s="38" customFormat="1" ht="15.95" customHeight="1" x14ac:dyDescent="0.25">
      <c r="B314" s="365"/>
      <c r="C314" s="40"/>
      <c r="D314" s="40"/>
      <c r="E314" s="40"/>
      <c r="F314" s="40"/>
      <c r="G314" s="364"/>
    </row>
    <row r="315" spans="1:7" s="38" customFormat="1" ht="20.100000000000001" customHeight="1" x14ac:dyDescent="0.25">
      <c r="B315" s="361" t="s">
        <v>64</v>
      </c>
      <c r="C315" s="361" t="s">
        <v>121</v>
      </c>
      <c r="D315" s="361" t="s">
        <v>17</v>
      </c>
      <c r="E315" s="361" t="s">
        <v>21</v>
      </c>
      <c r="F315" s="361" t="s">
        <v>90</v>
      </c>
      <c r="G315" s="361" t="s">
        <v>122</v>
      </c>
    </row>
    <row r="316" spans="1:7" s="38" customFormat="1" ht="15.95" customHeight="1" x14ac:dyDescent="0.25">
      <c r="B316" s="137">
        <f>'Evolução saldo devedor'!$B$73</f>
        <v>1</v>
      </c>
      <c r="C316" s="129">
        <f>'Evolução saldo devedor'!$C$73</f>
        <v>7076.02</v>
      </c>
      <c r="D316" s="129">
        <f>'Evolução saldo devedor'!$D$73</f>
        <v>331.89250191718025</v>
      </c>
      <c r="E316" s="129">
        <f>'Evolução saldo devedor'!$E$73</f>
        <v>223.60223200000004</v>
      </c>
      <c r="F316" s="129">
        <f>'Evolução saldo devedor'!$F$73</f>
        <v>108.29026991718021</v>
      </c>
      <c r="G316" s="129">
        <f>'Evolução saldo devedor'!$G$73</f>
        <v>6967.7297300828204</v>
      </c>
    </row>
    <row r="317" spans="1:7" s="38" customFormat="1" ht="15.95" customHeight="1" x14ac:dyDescent="0.25">
      <c r="B317" s="137">
        <f>'Evolução saldo devedor'!$B$74</f>
        <v>2</v>
      </c>
      <c r="C317" s="129">
        <f>'Evolução saldo devedor'!$C$74</f>
        <v>6967.7297300828204</v>
      </c>
      <c r="D317" s="129">
        <f>'Evolução saldo devedor'!$D$74</f>
        <v>331.89250191718025</v>
      </c>
      <c r="E317" s="129">
        <f>'Evolução saldo devedor'!$E$74</f>
        <v>220.18025947061716</v>
      </c>
      <c r="F317" s="129">
        <f>'Evolução saldo devedor'!$F$74</f>
        <v>111.7122424465631</v>
      </c>
      <c r="G317" s="129">
        <f>'Evolução saldo devedor'!$G$74</f>
        <v>6856.0174876362571</v>
      </c>
    </row>
    <row r="318" spans="1:7" s="38" customFormat="1" ht="15.95" customHeight="1" x14ac:dyDescent="0.25">
      <c r="B318" s="137">
        <f>'Evolução saldo devedor'!$B$75</f>
        <v>3</v>
      </c>
      <c r="C318" s="129">
        <f>'Evolução saldo devedor'!$C$75</f>
        <v>6856.0174876362571</v>
      </c>
      <c r="D318" s="129">
        <f>'Evolução saldo devedor'!$D$75</f>
        <v>331.89250191718025</v>
      </c>
      <c r="E318" s="129">
        <f>'Evolução saldo devedor'!$E$75</f>
        <v>216.65015260930574</v>
      </c>
      <c r="F318" s="129">
        <f>'Evolução saldo devedor'!$F$75</f>
        <v>115.24234930787452</v>
      </c>
      <c r="G318" s="129">
        <f>'Evolução saldo devedor'!$G$75</f>
        <v>6740.775138328383</v>
      </c>
    </row>
    <row r="319" spans="1:7" s="38" customFormat="1" ht="15.95" customHeight="1" x14ac:dyDescent="0.25">
      <c r="B319" s="137" t="s">
        <v>307</v>
      </c>
      <c r="C319" s="129" t="s">
        <v>307</v>
      </c>
      <c r="D319" s="129" t="s">
        <v>307</v>
      </c>
      <c r="E319" s="129" t="s">
        <v>307</v>
      </c>
      <c r="F319" s="129" t="s">
        <v>307</v>
      </c>
      <c r="G319" s="129" t="s">
        <v>307</v>
      </c>
    </row>
    <row r="320" spans="1:7" s="38" customFormat="1" ht="15.95" customHeight="1" x14ac:dyDescent="0.25">
      <c r="B320" s="137">
        <f ca="1">INDIRECT(ADDRESS((ROW('Evolução saldo devedor'!$B$109)-1),2,,,"Evolução saldo devedor"))</f>
        <v>36</v>
      </c>
      <c r="C320" s="129">
        <f ca="1">INDIRECT(ADDRESS((ROW('Evolução saldo devedor'!$C$109)-1),3,,,"Evolução saldo devedor"))</f>
        <v>321.72596153276282</v>
      </c>
      <c r="D320" s="129">
        <f ca="1">INDIRECT(ADDRESS((ROW('Evolução saldo devedor'!$D$109)-1),4,,,"Evolução saldo devedor"))</f>
        <v>331.89250191718025</v>
      </c>
      <c r="E320" s="129">
        <f ca="1">INDIRECT(ADDRESS((ROW('Evolução saldo devedor'!$E$109)-1),5,,,"Evolução saldo devedor"))</f>
        <v>10.166540384435306</v>
      </c>
      <c r="F320" s="129">
        <f ca="1">INDIRECT(ADDRESS((ROW('Evolução saldo devedor'!$F$109)-1),6,,,"Evolução saldo devedor"))</f>
        <v>321.72596153274498</v>
      </c>
      <c r="G320" s="129">
        <f ca="1">INDIRECT(ADDRESS((ROW('Evolução saldo devedor'!$G$109)-1),7,,,"Evolução saldo devedor"))</f>
        <v>1.7848833522293717E-11</v>
      </c>
    </row>
    <row r="321" spans="1:7" s="38" customFormat="1" ht="15.95" customHeight="1" x14ac:dyDescent="0.25">
      <c r="B321" s="137"/>
      <c r="C321" s="151" t="s">
        <v>123</v>
      </c>
      <c r="D321" s="154">
        <f ca="1">'Evolução saldo devedor'!$D$109</f>
        <v>11948.130069018489</v>
      </c>
      <c r="E321" s="154">
        <f ca="1">'Evolução saldo devedor'!$E$109</f>
        <v>4872.1100690185067</v>
      </c>
      <c r="F321" s="154">
        <f ca="1">'Evolução saldo devedor'!$F$109</f>
        <v>7076.0199999999822</v>
      </c>
      <c r="G321" s="151"/>
    </row>
    <row r="322" spans="1:7" s="38" customFormat="1" ht="15.95" customHeight="1" x14ac:dyDescent="0.25">
      <c r="B322" s="239"/>
      <c r="C322" s="152"/>
      <c r="D322" s="153"/>
      <c r="E322" s="153"/>
      <c r="F322" s="153"/>
      <c r="G322" s="366"/>
    </row>
    <row r="323" spans="1:7" s="38" customFormat="1" ht="20.100000000000001" customHeight="1" x14ac:dyDescent="0.25">
      <c r="B323" s="239"/>
      <c r="C323" s="152"/>
      <c r="D323" s="485" t="s">
        <v>124</v>
      </c>
      <c r="E323" s="485"/>
      <c r="F323" s="485"/>
      <c r="G323" s="366"/>
    </row>
    <row r="324" spans="1:7" s="38" customFormat="1" ht="20.100000000000001" customHeight="1" x14ac:dyDescent="0.25">
      <c r="B324" s="239"/>
      <c r="C324" s="152"/>
      <c r="D324" s="361" t="s">
        <v>18</v>
      </c>
      <c r="E324" s="361" t="s">
        <v>38</v>
      </c>
      <c r="F324" s="361" t="s">
        <v>24</v>
      </c>
      <c r="G324" s="366"/>
    </row>
    <row r="325" spans="1:7" s="38" customFormat="1" ht="15.95" customHeight="1" x14ac:dyDescent="0.25">
      <c r="B325" s="367"/>
      <c r="C325" s="368"/>
      <c r="D325" s="154">
        <f ca="1">'Evolução saldo devedor'!$D$113</f>
        <v>11948.130069018489</v>
      </c>
      <c r="E325" s="154">
        <f ca="1">'Evolução saldo devedor'!$E$113</f>
        <v>4872.1100690185067</v>
      </c>
      <c r="F325" s="154">
        <f ca="1">'Evolução saldo devedor'!$F$113</f>
        <v>7076.0199999999822</v>
      </c>
      <c r="G325" s="369"/>
    </row>
    <row r="326" spans="1:7" s="38" customFormat="1" ht="15.95" customHeight="1" x14ac:dyDescent="0.25">
      <c r="B326" s="40"/>
      <c r="C326" s="152"/>
      <c r="D326" s="155"/>
      <c r="E326" s="155"/>
      <c r="F326" s="155"/>
      <c r="G326" s="152"/>
    </row>
    <row r="327" spans="1:7" s="43" customFormat="1" ht="15.95" customHeight="1" x14ac:dyDescent="0.25">
      <c r="B327" s="43" t="s">
        <v>396</v>
      </c>
    </row>
    <row r="328" spans="1:7" s="38" customFormat="1" ht="15.95" customHeight="1" x14ac:dyDescent="0.25">
      <c r="B328" s="86"/>
      <c r="C328" s="152"/>
      <c r="D328" s="155"/>
      <c r="E328" s="155"/>
      <c r="F328" s="155"/>
      <c r="G328" s="152"/>
    </row>
    <row r="329" spans="1:7" s="43" customFormat="1" ht="24.95" customHeight="1" x14ac:dyDescent="0.25">
      <c r="A329" s="43" t="s">
        <v>724</v>
      </c>
      <c r="B329" s="384" t="s">
        <v>402</v>
      </c>
    </row>
    <row r="330" spans="1:7" s="38" customFormat="1" ht="15.95" customHeight="1" x14ac:dyDescent="0.25">
      <c r="B330" s="40" t="s">
        <v>403</v>
      </c>
      <c r="C330" s="152"/>
      <c r="D330" s="155"/>
      <c r="E330" s="155"/>
      <c r="F330" s="155"/>
      <c r="G330" s="152"/>
    </row>
    <row r="331" spans="1:7" s="38" customFormat="1" ht="15.95" customHeight="1" x14ac:dyDescent="0.25">
      <c r="B331" s="40" t="s">
        <v>447</v>
      </c>
      <c r="C331" s="152"/>
      <c r="D331" s="155"/>
      <c r="E331" s="155"/>
      <c r="F331" s="155"/>
      <c r="G331" s="152"/>
    </row>
    <row r="332" spans="1:7" s="38" customFormat="1" ht="15.95" customHeight="1" x14ac:dyDescent="0.25">
      <c r="C332" s="86" t="s">
        <v>448</v>
      </c>
      <c r="D332" s="155"/>
      <c r="E332" s="155"/>
      <c r="F332" s="155"/>
      <c r="G332" s="152"/>
    </row>
    <row r="333" spans="1:7" s="38" customFormat="1" ht="15.95" customHeight="1" x14ac:dyDescent="0.25">
      <c r="B333" s="40" t="s">
        <v>405</v>
      </c>
      <c r="C333" s="152"/>
      <c r="D333" s="155"/>
      <c r="E333" s="155"/>
      <c r="F333" s="155"/>
      <c r="G333" s="152"/>
    </row>
    <row r="334" spans="1:7" s="38" customFormat="1" ht="15.95" customHeight="1" x14ac:dyDescent="0.25">
      <c r="B334" s="40" t="s">
        <v>314</v>
      </c>
      <c r="C334" s="152"/>
      <c r="D334" s="155"/>
      <c r="E334" s="155"/>
      <c r="F334" s="155"/>
      <c r="G334" s="152"/>
    </row>
    <row r="335" spans="1:7" s="38" customFormat="1" ht="15.95" customHeight="1" x14ac:dyDescent="0.25">
      <c r="B335" s="86" t="s">
        <v>406</v>
      </c>
      <c r="C335" s="152"/>
      <c r="D335" s="155"/>
      <c r="E335" s="155"/>
      <c r="F335" s="155"/>
      <c r="G335" s="152"/>
    </row>
    <row r="336" spans="1:7" s="38" customFormat="1" ht="15.95" customHeight="1" x14ac:dyDescent="0.25">
      <c r="B336" s="86" t="s">
        <v>404</v>
      </c>
      <c r="C336" s="152"/>
      <c r="D336" s="155"/>
      <c r="E336" s="155"/>
      <c r="F336" s="155"/>
      <c r="G336" s="152"/>
    </row>
    <row r="337" spans="1:7" s="38" customFormat="1" ht="15.95" customHeight="1" x14ac:dyDescent="0.25">
      <c r="B337" s="86" t="s">
        <v>407</v>
      </c>
      <c r="C337" s="152"/>
      <c r="D337" s="155"/>
      <c r="E337" s="155"/>
      <c r="F337" s="155"/>
      <c r="G337" s="152"/>
    </row>
    <row r="338" spans="1:7" s="38" customFormat="1" ht="15.95" customHeight="1" x14ac:dyDescent="0.25">
      <c r="B338" s="86"/>
      <c r="C338" s="152"/>
      <c r="D338" s="155"/>
      <c r="E338" s="155"/>
      <c r="F338" s="155"/>
      <c r="G338" s="152"/>
    </row>
    <row r="339" spans="1:7" s="38" customFormat="1" ht="24.95" customHeight="1" x14ac:dyDescent="0.25">
      <c r="A339" s="38" t="s">
        <v>725</v>
      </c>
      <c r="B339" s="384" t="s">
        <v>452</v>
      </c>
      <c r="C339" s="152"/>
      <c r="D339" s="155"/>
      <c r="E339" s="155"/>
      <c r="F339" s="155"/>
      <c r="G339" s="152"/>
    </row>
    <row r="340" spans="1:7" x14ac:dyDescent="0.25">
      <c r="B340" s="343" t="s">
        <v>881</v>
      </c>
      <c r="C340" s="344"/>
      <c r="D340" s="345"/>
      <c r="E340" s="345"/>
      <c r="F340" s="345"/>
      <c r="G340" s="344"/>
    </row>
    <row r="341" spans="1:7" x14ac:dyDescent="0.25">
      <c r="B341" s="343" t="s">
        <v>699</v>
      </c>
      <c r="C341" s="344"/>
      <c r="D341" s="345"/>
      <c r="E341" s="345"/>
      <c r="F341" s="345"/>
      <c r="G341" s="344"/>
    </row>
    <row r="342" spans="1:7" x14ac:dyDescent="0.25">
      <c r="B342" s="343" t="s">
        <v>698</v>
      </c>
      <c r="C342" s="344"/>
      <c r="D342" s="345"/>
      <c r="E342" s="345"/>
      <c r="F342" s="345"/>
      <c r="G342" s="344"/>
    </row>
    <row r="343" spans="1:7" x14ac:dyDescent="0.25">
      <c r="B343" s="343" t="s">
        <v>703</v>
      </c>
      <c r="C343" s="344"/>
      <c r="D343" s="345"/>
      <c r="E343" s="345"/>
      <c r="F343" s="345"/>
      <c r="G343" s="344"/>
    </row>
    <row r="344" spans="1:7" x14ac:dyDescent="0.25">
      <c r="B344" s="343" t="s">
        <v>700</v>
      </c>
      <c r="C344" s="344"/>
      <c r="D344" s="345"/>
      <c r="E344" s="345"/>
      <c r="F344" s="345"/>
      <c r="G344" s="344"/>
    </row>
    <row r="345" spans="1:7" x14ac:dyDescent="0.25">
      <c r="B345" s="343" t="s">
        <v>701</v>
      </c>
      <c r="C345" s="344"/>
      <c r="D345" s="345"/>
      <c r="E345" s="345"/>
      <c r="F345" s="345"/>
      <c r="G345" s="344"/>
    </row>
    <row r="346" spans="1:7" x14ac:dyDescent="0.25">
      <c r="B346" s="343" t="s">
        <v>410</v>
      </c>
      <c r="C346" s="344"/>
      <c r="D346" s="345"/>
      <c r="E346" s="345"/>
      <c r="F346" s="345"/>
      <c r="G346" s="344"/>
    </row>
    <row r="347" spans="1:7" x14ac:dyDescent="0.25">
      <c r="B347" s="343" t="s">
        <v>862</v>
      </c>
      <c r="C347" s="344"/>
      <c r="D347" s="345"/>
      <c r="E347" s="345"/>
      <c r="F347" s="345"/>
      <c r="G347" s="344"/>
    </row>
    <row r="348" spans="1:7" x14ac:dyDescent="0.25">
      <c r="B348" s="343" t="s">
        <v>408</v>
      </c>
      <c r="C348" s="344"/>
      <c r="D348" s="345"/>
      <c r="E348" s="345"/>
      <c r="F348" s="345"/>
      <c r="G348" s="344"/>
    </row>
    <row r="349" spans="1:7" x14ac:dyDescent="0.25">
      <c r="B349" s="343" t="s">
        <v>412</v>
      </c>
      <c r="C349" s="344"/>
      <c r="D349" s="345"/>
      <c r="E349" s="345"/>
      <c r="F349" s="345"/>
      <c r="G349" s="344"/>
    </row>
    <row r="350" spans="1:7" x14ac:dyDescent="0.25">
      <c r="B350" s="343" t="s">
        <v>413</v>
      </c>
      <c r="C350" s="344"/>
      <c r="D350" s="345"/>
      <c r="E350" s="345"/>
      <c r="F350" s="345"/>
      <c r="G350" s="344"/>
    </row>
    <row r="351" spans="1:7" x14ac:dyDescent="0.25">
      <c r="B351" s="343" t="s">
        <v>702</v>
      </c>
      <c r="C351" s="344"/>
      <c r="D351" s="345"/>
      <c r="E351" s="345"/>
      <c r="F351" s="345"/>
      <c r="G351" s="344"/>
    </row>
    <row r="352" spans="1:7" x14ac:dyDescent="0.25">
      <c r="B352" s="343" t="s">
        <v>409</v>
      </c>
      <c r="C352" s="344"/>
      <c r="D352" s="345"/>
      <c r="E352" s="345"/>
      <c r="F352" s="345"/>
      <c r="G352" s="344"/>
    </row>
    <row r="353" spans="1:10" x14ac:dyDescent="0.25">
      <c r="B353" s="343" t="s">
        <v>414</v>
      </c>
      <c r="C353" s="344"/>
      <c r="D353" s="345"/>
      <c r="E353" s="345"/>
      <c r="F353" s="345"/>
      <c r="G353" s="344"/>
    </row>
    <row r="354" spans="1:10" x14ac:dyDescent="0.25">
      <c r="B354" s="343" t="s">
        <v>415</v>
      </c>
      <c r="C354" s="344"/>
      <c r="D354" s="345"/>
      <c r="E354" s="345"/>
      <c r="F354" s="345"/>
      <c r="G354" s="344"/>
    </row>
    <row r="355" spans="1:10" s="38" customFormat="1" ht="15.95" customHeight="1" x14ac:dyDescent="0.25">
      <c r="B355" s="86" t="s">
        <v>716</v>
      </c>
      <c r="C355" s="152"/>
      <c r="D355" s="155"/>
      <c r="E355" s="155"/>
      <c r="F355" s="155"/>
      <c r="G355" s="152"/>
    </row>
    <row r="356" spans="1:10" s="38" customFormat="1" ht="15.95" customHeight="1" x14ac:dyDescent="0.25">
      <c r="B356" s="86" t="s">
        <v>517</v>
      </c>
      <c r="C356" s="152"/>
      <c r="D356" s="155"/>
      <c r="E356" s="155"/>
      <c r="F356" s="155"/>
      <c r="G356" s="152"/>
    </row>
    <row r="357" spans="1:10" s="38" customFormat="1" ht="15.95" customHeight="1" x14ac:dyDescent="0.25">
      <c r="B357" s="40"/>
      <c r="C357" s="152"/>
      <c r="D357" s="155"/>
      <c r="E357" s="155"/>
      <c r="F357" s="155"/>
      <c r="G357" s="152"/>
    </row>
    <row r="358" spans="1:10" s="43" customFormat="1" ht="24.95" customHeight="1" x14ac:dyDescent="0.25">
      <c r="A358" s="380" t="s">
        <v>723</v>
      </c>
    </row>
    <row r="359" spans="1:10" s="43" customFormat="1" ht="15.95" customHeight="1" x14ac:dyDescent="0.25">
      <c r="B359" s="43" t="s">
        <v>324</v>
      </c>
    </row>
    <row r="360" spans="1:10" s="43" customFormat="1" ht="15.95" customHeight="1" x14ac:dyDescent="0.25">
      <c r="B360" s="43" t="s">
        <v>301</v>
      </c>
      <c r="J360" s="38"/>
    </row>
    <row r="361" spans="1:10" s="43" customFormat="1" ht="15.95" customHeight="1" x14ac:dyDescent="0.25">
      <c r="H361" s="454"/>
      <c r="I361" s="159"/>
      <c r="J361" s="38"/>
    </row>
    <row r="362" spans="1:10" s="43" customFormat="1" ht="15.95" customHeight="1" x14ac:dyDescent="0.25">
      <c r="C362" s="156">
        <f>'Os juros sobre juros'!$E$90</f>
        <v>4872.1100690184885</v>
      </c>
      <c r="D362" s="159" t="s">
        <v>925</v>
      </c>
      <c r="H362" s="454"/>
      <c r="I362" s="159"/>
      <c r="J362" s="38"/>
    </row>
    <row r="363" spans="1:10" s="43" customFormat="1" ht="15.95" customHeight="1" x14ac:dyDescent="0.25">
      <c r="J363" s="38"/>
    </row>
    <row r="364" spans="1:10" s="43" customFormat="1" ht="15.95" customHeight="1" x14ac:dyDescent="0.25">
      <c r="B364" s="43" t="s">
        <v>300</v>
      </c>
      <c r="J364" s="38"/>
    </row>
    <row r="365" spans="1:10" s="43" customFormat="1" ht="15.95" customHeight="1" x14ac:dyDescent="0.25">
      <c r="B365" s="43" t="s">
        <v>416</v>
      </c>
      <c r="J365" s="38"/>
    </row>
    <row r="366" spans="1:10" s="43" customFormat="1" ht="15.95" customHeight="1" x14ac:dyDescent="0.25">
      <c r="B366" s="43" t="s">
        <v>193</v>
      </c>
      <c r="J366" s="38"/>
    </row>
    <row r="367" spans="1:10" s="43" customFormat="1" ht="15.95" customHeight="1" x14ac:dyDescent="0.25">
      <c r="B367" s="43" t="s">
        <v>520</v>
      </c>
      <c r="J367" s="38"/>
    </row>
    <row r="368" spans="1:10" s="43" customFormat="1" ht="15.95" customHeight="1" x14ac:dyDescent="0.25">
      <c r="H368" s="181"/>
      <c r="I368" s="160"/>
      <c r="J368" s="38"/>
    </row>
    <row r="369" spans="2:10" s="43" customFormat="1" ht="15.95" customHeight="1" x14ac:dyDescent="0.25">
      <c r="C369" s="157">
        <f ca="1">'Evolução saldo devedor'!$E$109</f>
        <v>4872.1100690185067</v>
      </c>
      <c r="D369" s="373" t="s">
        <v>926</v>
      </c>
      <c r="H369" s="181"/>
      <c r="I369" s="160"/>
      <c r="J369" s="38"/>
    </row>
    <row r="370" spans="2:10" s="43" customFormat="1" ht="15.95" customHeight="1" x14ac:dyDescent="0.25">
      <c r="H370" s="158"/>
      <c r="I370" s="48"/>
    </row>
    <row r="371" spans="2:10" s="43" customFormat="1" ht="15.95" customHeight="1" x14ac:dyDescent="0.25">
      <c r="B371" s="43" t="s">
        <v>397</v>
      </c>
      <c r="H371" s="158"/>
      <c r="I371" s="48"/>
    </row>
    <row r="372" spans="2:10" s="43" customFormat="1" ht="15.95" customHeight="1" x14ac:dyDescent="0.25">
      <c r="B372" s="43" t="s">
        <v>398</v>
      </c>
      <c r="H372" s="158"/>
      <c r="I372" s="48"/>
    </row>
    <row r="373" spans="2:10" s="43" customFormat="1" ht="15.95" customHeight="1" x14ac:dyDescent="0.25">
      <c r="B373" s="43" t="s">
        <v>399</v>
      </c>
      <c r="H373" s="158"/>
      <c r="I373" s="48"/>
    </row>
    <row r="374" spans="2:10" s="43" customFormat="1" ht="15.95" customHeight="1" x14ac:dyDescent="0.25">
      <c r="B374" s="43" t="s">
        <v>400</v>
      </c>
      <c r="H374" s="158"/>
      <c r="I374" s="48"/>
    </row>
    <row r="375" spans="2:10" s="43" customFormat="1" ht="15.95" customHeight="1" x14ac:dyDescent="0.25">
      <c r="H375" s="158"/>
      <c r="I375" s="48"/>
    </row>
    <row r="376" spans="2:10" s="43" customFormat="1" ht="15.95" customHeight="1" x14ac:dyDescent="0.25">
      <c r="B376" s="43" t="s">
        <v>215</v>
      </c>
      <c r="H376" s="158"/>
      <c r="I376" s="48"/>
    </row>
    <row r="377" spans="2:10" s="43" customFormat="1" ht="15.95" customHeight="1" x14ac:dyDescent="0.25">
      <c r="H377" s="158"/>
      <c r="I377" s="48"/>
    </row>
    <row r="378" spans="2:10" s="43" customFormat="1" ht="24.95" customHeight="1" x14ac:dyDescent="0.25">
      <c r="B378" s="390" t="s">
        <v>726</v>
      </c>
      <c r="H378" s="49"/>
      <c r="I378" s="44"/>
    </row>
    <row r="379" spans="2:10" s="43" customFormat="1" ht="20.100000000000001" customHeight="1" x14ac:dyDescent="0.25">
      <c r="B379" s="161" t="s">
        <v>186</v>
      </c>
      <c r="C379" s="162"/>
      <c r="D379" s="163"/>
      <c r="E379" s="163"/>
      <c r="F379" s="164"/>
    </row>
    <row r="380" spans="2:10" s="43" customFormat="1" ht="15.95" customHeight="1" x14ac:dyDescent="0.25">
      <c r="B380" s="165" t="s">
        <v>192</v>
      </c>
      <c r="C380" s="166"/>
      <c r="D380" s="167"/>
      <c r="E380" s="167"/>
      <c r="F380" s="168"/>
    </row>
    <row r="381" spans="2:10" s="43" customFormat="1" ht="15.95" customHeight="1" x14ac:dyDescent="0.25">
      <c r="B381" s="169" t="s">
        <v>187</v>
      </c>
      <c r="C381" s="166"/>
      <c r="D381" s="167"/>
      <c r="E381" s="167"/>
      <c r="F381" s="168"/>
    </row>
    <row r="382" spans="2:10" s="43" customFormat="1" ht="15.95" customHeight="1" x14ac:dyDescent="0.25">
      <c r="B382" s="170"/>
      <c r="C382" s="166"/>
      <c r="D382" s="167"/>
      <c r="E382" s="167"/>
      <c r="F382" s="171"/>
    </row>
    <row r="383" spans="2:10" s="43" customFormat="1" ht="20.100000000000001" customHeight="1" x14ac:dyDescent="0.25">
      <c r="B383" s="102" t="s">
        <v>24</v>
      </c>
      <c r="C383" s="102" t="s">
        <v>188</v>
      </c>
      <c r="D383" s="102" t="s">
        <v>2</v>
      </c>
      <c r="E383" s="509"/>
      <c r="F383" s="102" t="s">
        <v>189</v>
      </c>
    </row>
    <row r="384" spans="2:10" s="43" customFormat="1" ht="15.95" customHeight="1" x14ac:dyDescent="0.25">
      <c r="B384" s="179">
        <f>'Os juros sobre juros'!$E$31</f>
        <v>7076.02</v>
      </c>
      <c r="C384" s="172">
        <f>'Os juros sobre juros'!$E$33</f>
        <v>36</v>
      </c>
      <c r="D384" s="173">
        <f>'Os juros sobre juros'!$E$32</f>
        <v>3.1600000000000003E-2</v>
      </c>
      <c r="E384" s="509"/>
      <c r="F384" s="156">
        <f>'Os juros sobre juros'!$E$90</f>
        <v>4872.1100690184885</v>
      </c>
    </row>
    <row r="385" spans="1:9" s="43" customFormat="1" ht="15.95" customHeight="1" x14ac:dyDescent="0.25">
      <c r="B385" s="174"/>
      <c r="C385" s="175"/>
      <c r="D385" s="176"/>
      <c r="E385" s="175"/>
      <c r="F385" s="171"/>
    </row>
    <row r="386" spans="1:9" s="43" customFormat="1" ht="15.95" customHeight="1" x14ac:dyDescent="0.25">
      <c r="B386" s="170"/>
      <c r="C386" s="166"/>
      <c r="D386" s="167"/>
      <c r="E386" s="167"/>
      <c r="F386" s="171"/>
    </row>
    <row r="387" spans="1:9" s="43" customFormat="1" ht="20.100000000000001" customHeight="1" x14ac:dyDescent="0.25">
      <c r="B387" s="177" t="s">
        <v>190</v>
      </c>
      <c r="C387" s="47"/>
      <c r="D387" s="167"/>
      <c r="E387" s="167"/>
      <c r="F387" s="168"/>
    </row>
    <row r="388" spans="1:9" s="43" customFormat="1" ht="15.95" customHeight="1" x14ac:dyDescent="0.25">
      <c r="B388" s="165" t="s">
        <v>191</v>
      </c>
      <c r="C388" s="47"/>
      <c r="D388" s="47"/>
      <c r="E388" s="47"/>
      <c r="F388" s="171"/>
    </row>
    <row r="389" spans="1:9" s="43" customFormat="1" ht="15.95" customHeight="1" x14ac:dyDescent="0.25">
      <c r="B389" s="178" t="s">
        <v>417</v>
      </c>
      <c r="C389" s="47"/>
      <c r="D389" s="47"/>
      <c r="E389" s="47"/>
      <c r="F389" s="171"/>
    </row>
    <row r="390" spans="1:9" s="43" customFormat="1" ht="15.95" customHeight="1" x14ac:dyDescent="0.25">
      <c r="B390" s="170"/>
      <c r="C390" s="47"/>
      <c r="D390" s="47"/>
      <c r="E390" s="47"/>
      <c r="F390" s="171"/>
    </row>
    <row r="391" spans="1:9" s="43" customFormat="1" ht="20.100000000000001" customHeight="1" x14ac:dyDescent="0.25">
      <c r="B391" s="102" t="s">
        <v>24</v>
      </c>
      <c r="C391" s="102" t="s">
        <v>188</v>
      </c>
      <c r="D391" s="102" t="s">
        <v>2</v>
      </c>
      <c r="E391" s="509"/>
      <c r="F391" s="102" t="s">
        <v>189</v>
      </c>
    </row>
    <row r="392" spans="1:9" s="43" customFormat="1" ht="15.95" customHeight="1" x14ac:dyDescent="0.25">
      <c r="B392" s="179">
        <f>'Os juros sobre juros'!$E$31</f>
        <v>7076.02</v>
      </c>
      <c r="C392" s="172">
        <f>'Os juros sobre juros'!$E$33</f>
        <v>36</v>
      </c>
      <c r="D392" s="173">
        <f>'Os juros sobre juros'!$E$32</f>
        <v>3.1600000000000003E-2</v>
      </c>
      <c r="E392" s="510"/>
      <c r="F392" s="157">
        <f ca="1">'Evolução saldo devedor'!$E$109</f>
        <v>4872.1100690185067</v>
      </c>
    </row>
    <row r="393" spans="1:9" s="43" customFormat="1" ht="15.95" customHeight="1" x14ac:dyDescent="0.25">
      <c r="B393" s="180"/>
      <c r="C393" s="175"/>
      <c r="D393" s="176"/>
      <c r="E393" s="175"/>
      <c r="F393" s="181"/>
    </row>
    <row r="394" spans="1:9" s="38" customFormat="1" ht="24.95" customHeight="1" x14ac:dyDescent="0.25">
      <c r="A394" s="378" t="s">
        <v>863</v>
      </c>
    </row>
    <row r="395" spans="1:9" s="43" customFormat="1" ht="15.95" customHeight="1" x14ac:dyDescent="0.25">
      <c r="B395" s="43" t="s">
        <v>780</v>
      </c>
      <c r="H395" s="158"/>
      <c r="I395" s="48"/>
    </row>
    <row r="396" spans="1:9" s="43" customFormat="1" ht="15.95" customHeight="1" x14ac:dyDescent="0.25">
      <c r="B396" s="43" t="s">
        <v>781</v>
      </c>
      <c r="H396" s="158"/>
      <c r="I396" s="48"/>
    </row>
    <row r="397" spans="1:9" s="43" customFormat="1" ht="15.95" customHeight="1" x14ac:dyDescent="0.25">
      <c r="B397" s="43" t="s">
        <v>782</v>
      </c>
      <c r="H397" s="158"/>
      <c r="I397" s="48"/>
    </row>
    <row r="398" spans="1:9" s="43" customFormat="1" ht="15.95" customHeight="1" x14ac:dyDescent="0.25">
      <c r="H398" s="158"/>
      <c r="I398" s="48"/>
    </row>
    <row r="399" spans="1:9" s="43" customFormat="1" ht="15.95" customHeight="1" x14ac:dyDescent="0.25">
      <c r="B399" s="43" t="s">
        <v>783</v>
      </c>
      <c r="H399" s="158"/>
      <c r="I399" s="48"/>
    </row>
    <row r="400" spans="1:9" s="43" customFormat="1" ht="15.95" customHeight="1" x14ac:dyDescent="0.25">
      <c r="H400" s="158"/>
      <c r="I400" s="48"/>
    </row>
    <row r="401" spans="1:7" s="38" customFormat="1" ht="15.95" customHeight="1" x14ac:dyDescent="0.25">
      <c r="B401" s="38" t="s">
        <v>784</v>
      </c>
    </row>
    <row r="402" spans="1:7" s="38" customFormat="1" ht="15.95" customHeight="1" x14ac:dyDescent="0.25">
      <c r="B402" s="38" t="s">
        <v>786</v>
      </c>
    </row>
    <row r="403" spans="1:7" s="38" customFormat="1" ht="15.95" customHeight="1" x14ac:dyDescent="0.25">
      <c r="B403" s="38" t="s">
        <v>787</v>
      </c>
    </row>
    <row r="404" spans="1:7" s="38" customFormat="1" ht="15.95" customHeight="1" x14ac:dyDescent="0.25"/>
    <row r="405" spans="1:7" s="38" customFormat="1" ht="15.95" customHeight="1" x14ac:dyDescent="0.25">
      <c r="B405" s="38" t="s">
        <v>785</v>
      </c>
    </row>
    <row r="406" spans="1:7" s="38" customFormat="1" ht="15.95" customHeight="1" x14ac:dyDescent="0.25">
      <c r="B406" s="38" t="s">
        <v>788</v>
      </c>
    </row>
    <row r="407" spans="1:7" s="38" customFormat="1" ht="15.95" customHeight="1" x14ac:dyDescent="0.25">
      <c r="B407" s="38" t="s">
        <v>905</v>
      </c>
    </row>
    <row r="408" spans="1:7" s="38" customFormat="1" ht="15.95" customHeight="1" x14ac:dyDescent="0.25">
      <c r="B408" s="38" t="s">
        <v>906</v>
      </c>
    </row>
    <row r="409" spans="1:7" s="38" customFormat="1" ht="15.95" customHeight="1" x14ac:dyDescent="0.25">
      <c r="B409" s="38" t="s">
        <v>790</v>
      </c>
    </row>
    <row r="410" spans="1:7" s="38" customFormat="1" ht="15.95" customHeight="1" x14ac:dyDescent="0.25">
      <c r="B410" s="38" t="s">
        <v>791</v>
      </c>
    </row>
    <row r="411" spans="1:7" s="38" customFormat="1" ht="15.95" customHeight="1" x14ac:dyDescent="0.25">
      <c r="B411" s="38" t="s">
        <v>792</v>
      </c>
    </row>
    <row r="412" spans="1:7" s="38" customFormat="1" ht="15.95" customHeight="1" x14ac:dyDescent="0.25">
      <c r="B412" s="38" t="s">
        <v>789</v>
      </c>
    </row>
    <row r="413" spans="1:7" s="38" customFormat="1" ht="15.95" customHeight="1" x14ac:dyDescent="0.25">
      <c r="A413" s="81"/>
      <c r="B413" s="82"/>
    </row>
    <row r="414" spans="1:7" s="38" customFormat="1" ht="24.95" customHeight="1" x14ac:dyDescent="0.25">
      <c r="B414" s="390" t="s">
        <v>285</v>
      </c>
    </row>
    <row r="415" spans="1:7" s="38" customFormat="1" ht="20.100000000000001" customHeight="1" x14ac:dyDescent="0.25">
      <c r="B415" s="485" t="s">
        <v>17</v>
      </c>
      <c r="C415" s="485" t="s">
        <v>18</v>
      </c>
      <c r="D415" s="485" t="s">
        <v>24</v>
      </c>
      <c r="E415" s="485" t="s">
        <v>38</v>
      </c>
      <c r="F415" s="485"/>
      <c r="G415" s="485"/>
    </row>
    <row r="416" spans="1:7" s="38" customFormat="1" ht="20.100000000000001" customHeight="1" x14ac:dyDescent="0.25">
      <c r="B416" s="485"/>
      <c r="C416" s="485"/>
      <c r="D416" s="485"/>
      <c r="E416" s="413" t="s">
        <v>25</v>
      </c>
      <c r="F416" s="413" t="s">
        <v>26</v>
      </c>
      <c r="G416" s="413" t="s">
        <v>99</v>
      </c>
    </row>
    <row r="417" spans="1:13" s="38" customFormat="1" ht="15.95" customHeight="1" x14ac:dyDescent="0.25">
      <c r="B417" s="125">
        <f>'Os juros sobre juros'!$B$520</f>
        <v>331.89250191718025</v>
      </c>
      <c r="C417" s="129">
        <f>'Os juros sobre juros'!$C$520</f>
        <v>11948.130069018489</v>
      </c>
      <c r="D417" s="129">
        <f>'Os juros sobre juros'!$D$520</f>
        <v>7076.02</v>
      </c>
      <c r="E417" s="129">
        <f ca="1">'Os juros sobre juros'!$E$520</f>
        <v>3401.1725149814979</v>
      </c>
      <c r="F417" s="129">
        <f ca="1">'Os juros sobre juros'!$F$520</f>
        <v>1470.9375540370008</v>
      </c>
      <c r="G417" s="129">
        <f ca="1">'Os juros sobre juros'!$G$520</f>
        <v>4872.1100690184994</v>
      </c>
    </row>
    <row r="418" spans="1:13" s="38" customFormat="1" ht="15.95" customHeight="1" x14ac:dyDescent="0.25">
      <c r="A418" s="81"/>
      <c r="B418" s="82"/>
    </row>
    <row r="419" spans="1:13" s="38" customFormat="1" ht="20.100000000000001" customHeight="1" x14ac:dyDescent="0.25">
      <c r="B419" s="384" t="s">
        <v>856</v>
      </c>
    </row>
    <row r="420" spans="1:13" s="38" customFormat="1" ht="15.95" customHeight="1" x14ac:dyDescent="0.25">
      <c r="B420" s="38" t="s">
        <v>793</v>
      </c>
    </row>
    <row r="421" spans="1:13" s="38" customFormat="1" ht="15.95" customHeight="1" x14ac:dyDescent="0.25">
      <c r="B421" s="38" t="s">
        <v>794</v>
      </c>
    </row>
    <row r="422" spans="1:13" s="38" customFormat="1" ht="15.95" customHeight="1" x14ac:dyDescent="0.25">
      <c r="B422" s="38" t="s">
        <v>795</v>
      </c>
    </row>
    <row r="423" spans="1:13" s="38" customFormat="1" ht="15.95" customHeight="1" x14ac:dyDescent="0.25">
      <c r="B423" s="38" t="s">
        <v>796</v>
      </c>
    </row>
    <row r="424" spans="1:13" s="38" customFormat="1" ht="15.95" customHeight="1" x14ac:dyDescent="0.25">
      <c r="B424" s="38" t="s">
        <v>797</v>
      </c>
    </row>
    <row r="425" spans="1:13" s="38" customFormat="1" ht="15.95" customHeight="1" x14ac:dyDescent="0.25">
      <c r="B425" s="38" t="s">
        <v>798</v>
      </c>
    </row>
    <row r="426" spans="1:13" s="38" customFormat="1" ht="15.95" customHeight="1" x14ac:dyDescent="0.25">
      <c r="B426" s="38" t="s">
        <v>799</v>
      </c>
    </row>
    <row r="427" spans="1:13" s="38" customFormat="1" ht="15.95" customHeight="1" x14ac:dyDescent="0.25"/>
    <row r="428" spans="1:13" s="38" customFormat="1" ht="15.95" customHeight="1" x14ac:dyDescent="0.25">
      <c r="B428" s="38" t="s">
        <v>857</v>
      </c>
    </row>
    <row r="429" spans="1:13" s="43" customFormat="1" ht="15.95" customHeight="1" x14ac:dyDescent="0.25"/>
    <row r="430" spans="1:13" s="43" customFormat="1" ht="24.95" customHeight="1" x14ac:dyDescent="0.25">
      <c r="B430" s="390" t="s">
        <v>521</v>
      </c>
      <c r="K430"/>
      <c r="L430"/>
      <c r="M430"/>
    </row>
    <row r="431" spans="1:13" s="43" customFormat="1" ht="15.95" customHeight="1" x14ac:dyDescent="0.25">
      <c r="B431" s="376" t="s">
        <v>239</v>
      </c>
      <c r="K431"/>
      <c r="L431"/>
      <c r="M431"/>
    </row>
    <row r="432" spans="1:13" s="43" customFormat="1" ht="20.100000000000001" customHeight="1" x14ac:dyDescent="0.25">
      <c r="B432" s="480" t="s">
        <v>64</v>
      </c>
      <c r="C432" s="480" t="s">
        <v>121</v>
      </c>
      <c r="D432" s="480" t="s">
        <v>17</v>
      </c>
      <c r="E432" s="482" t="s">
        <v>21</v>
      </c>
      <c r="F432" s="483"/>
      <c r="G432" s="484"/>
      <c r="H432" s="480" t="s">
        <v>90</v>
      </c>
      <c r="I432" s="480" t="s">
        <v>122</v>
      </c>
    </row>
    <row r="433" spans="2:13" s="43" customFormat="1" ht="20.100000000000001" customHeight="1" x14ac:dyDescent="0.25">
      <c r="B433" s="481"/>
      <c r="C433" s="481"/>
      <c r="D433" s="481"/>
      <c r="E433" s="414" t="s">
        <v>25</v>
      </c>
      <c r="F433" s="414" t="s">
        <v>26</v>
      </c>
      <c r="G433" s="414" t="s">
        <v>99</v>
      </c>
      <c r="H433" s="481"/>
      <c r="I433" s="481"/>
    </row>
    <row r="434" spans="2:13" s="43" customFormat="1" ht="15.95" customHeight="1" x14ac:dyDescent="0.25">
      <c r="B434" s="142">
        <f>'Evolução saldo devedor'!$B$392</f>
        <v>1</v>
      </c>
      <c r="C434" s="179">
        <f>'Evolução saldo devedor'!$C$392</f>
        <v>7076.02</v>
      </c>
      <c r="D434" s="179">
        <f>'Evolução saldo devedor'!$D$392</f>
        <v>331.89250191718025</v>
      </c>
      <c r="E434" s="179">
        <f>'Evolução saldo devedor'!$E$392</f>
        <v>10.166540384434759</v>
      </c>
      <c r="F434" s="179">
        <f>'Evolução saldo devedor'!$F$392</f>
        <v>0</v>
      </c>
      <c r="G434" s="179">
        <f>'Evolução saldo devedor'!$G$392</f>
        <v>10.166540384434768</v>
      </c>
      <c r="H434" s="179">
        <f>'Evolução saldo devedor'!$H$392</f>
        <v>321.72596153274549</v>
      </c>
      <c r="I434" s="179">
        <f>'Evolução saldo devedor'!$I$392</f>
        <v>6754.2940384672547</v>
      </c>
    </row>
    <row r="435" spans="2:13" s="43" customFormat="1" ht="15.95" customHeight="1" x14ac:dyDescent="0.25">
      <c r="B435" s="142">
        <f>'Evolução saldo devedor'!$B$393</f>
        <v>2</v>
      </c>
      <c r="C435" s="179">
        <f>'Evolução saldo devedor'!$C$393</f>
        <v>6754.2940384672547</v>
      </c>
      <c r="D435" s="179">
        <f>'Evolução saldo devedor'!$D$393</f>
        <v>331.89250191718025</v>
      </c>
      <c r="E435" s="179">
        <f>'Evolução saldo devedor'!$E$393</f>
        <v>19.71023727110267</v>
      </c>
      <c r="F435" s="179">
        <f>'Evolução saldo devedor'!$F$393</f>
        <v>0.3114217488834754</v>
      </c>
      <c r="G435" s="179">
        <f>'Evolução saldo devedor'!$G$393</f>
        <v>20.021659019986146</v>
      </c>
      <c r="H435" s="179">
        <f>'Evolução saldo devedor'!$H$393</f>
        <v>311.87084289719411</v>
      </c>
      <c r="I435" s="179">
        <f>'Evolução saldo devedor'!$I$393</f>
        <v>6442.4231955700607</v>
      </c>
    </row>
    <row r="436" spans="2:13" s="43" customFormat="1" ht="15.95" customHeight="1" x14ac:dyDescent="0.25">
      <c r="B436" s="142">
        <f>'Evolução saldo devedor'!$B$394</f>
        <v>3</v>
      </c>
      <c r="C436" s="179">
        <f>'Evolução saldo devedor'!$C$394</f>
        <v>6442.4231955700607</v>
      </c>
      <c r="D436" s="179">
        <f>'Evolução saldo devedor'!$D$394</f>
        <v>331.89250191718025</v>
      </c>
      <c r="E436" s="179">
        <f>'Evolução saldo devedor'!$E$394</f>
        <v>28.659709099121756</v>
      </c>
      <c r="F436" s="179">
        <f>'Evolução saldo devedor'!$F$394</f>
        <v>0.91518628723832762</v>
      </c>
      <c r="G436" s="179">
        <f>'Evolução saldo devedor'!$G$394</f>
        <v>29.574895386360083</v>
      </c>
      <c r="H436" s="179">
        <f>'Evolução saldo devedor'!$H$394</f>
        <v>302.31760653082017</v>
      </c>
      <c r="I436" s="179">
        <f>'Evolução saldo devedor'!$I$394</f>
        <v>6140.1055890392408</v>
      </c>
    </row>
    <row r="437" spans="2:13" s="43" customFormat="1" ht="15.95" customHeight="1" x14ac:dyDescent="0.25">
      <c r="B437" s="137" t="s">
        <v>307</v>
      </c>
      <c r="C437" s="137" t="s">
        <v>307</v>
      </c>
      <c r="D437" s="137" t="s">
        <v>307</v>
      </c>
      <c r="E437" s="137" t="s">
        <v>307</v>
      </c>
      <c r="F437" s="137" t="s">
        <v>307</v>
      </c>
      <c r="G437" s="137" t="s">
        <v>307</v>
      </c>
      <c r="H437" s="137" t="s">
        <v>307</v>
      </c>
      <c r="I437" s="137" t="s">
        <v>307</v>
      </c>
    </row>
    <row r="438" spans="2:13" s="95" customFormat="1" ht="15.95" customHeight="1" x14ac:dyDescent="0.25">
      <c r="B438" s="137">
        <f ca="1">INDIRECT(ADDRESS((ROW('Evolução saldo devedor'!$B$428)-1),2,,,"Evolução saldo devedor"))</f>
        <v>36</v>
      </c>
      <c r="C438" s="179">
        <f ca="1">INDIRECT(ADDRESS((ROW('Evolução saldo devedor'!$C$428)-1),3,,,"Evolução saldo devedor"))</f>
        <v>108.29026991718983</v>
      </c>
      <c r="D438" s="179">
        <f ca="1">INDIRECT(ADDRESS((ROW('Evolução saldo devedor'!$D$428)-1),4,,,"Evolução saldo devedor"))</f>
        <v>331.89250191718025</v>
      </c>
      <c r="E438" s="179">
        <f ca="1">INDIRECT(ADDRESS((ROW('Evolução saldo devedor'!$E$428)-1),5,,,"Evolução saldo devedor"))</f>
        <v>123.19101105778422</v>
      </c>
      <c r="F438" s="179">
        <f ca="1">INDIRECT(ADDRESS((ROW('Evolução saldo devedor'!$F$428)-1),6,,,"Evolução saldo devedor"))</f>
        <v>100.41122094221582</v>
      </c>
      <c r="G438" s="179">
        <f ca="1">INDIRECT(ADDRESS((ROW('Evolução saldo devedor'!$G$428)-1),7,,,"Evolução saldo devedor"))</f>
        <v>223.60223200000004</v>
      </c>
      <c r="H438" s="179">
        <f ca="1">INDIRECT(ADDRESS((ROW('Evolução saldo devedor'!$H$428)-1),8,,,"Evolução saldo devedor"))</f>
        <v>108.29026991718021</v>
      </c>
      <c r="I438" s="179">
        <f ca="1">INDIRECT(ADDRESS((ROW('Evolução saldo devedor'!$I$428)-1),9,,,"Evolução saldo devedor"))</f>
        <v>9.6207486421917565E-12</v>
      </c>
    </row>
    <row r="439" spans="2:13" s="95" customFormat="1" ht="15.95" customHeight="1" x14ac:dyDescent="0.25">
      <c r="B439" s="292"/>
      <c r="C439" s="293" t="s">
        <v>123</v>
      </c>
      <c r="D439" s="154">
        <f ca="1">'Evolução saldo devedor'!$D$428</f>
        <v>11948.130069018489</v>
      </c>
      <c r="E439" s="154">
        <f ca="1">'Evolução saldo devedor'!$E$428</f>
        <v>3401.1725149814979</v>
      </c>
      <c r="F439" s="154">
        <f ca="1">'Evolução saldo devedor'!$F$428</f>
        <v>1470.9375540370008</v>
      </c>
      <c r="G439" s="154">
        <f ca="1">'Evolução saldo devedor'!$G$428</f>
        <v>4872.1100690184994</v>
      </c>
      <c r="H439" s="154">
        <f ca="1">'Evolução saldo devedor'!$H$428</f>
        <v>7076.0199999999886</v>
      </c>
      <c r="I439" s="321"/>
      <c r="K439" s="43"/>
      <c r="L439" s="43"/>
      <c r="M439" s="43"/>
    </row>
    <row r="442" spans="2:13" x14ac:dyDescent="0.25">
      <c r="B442" s="38" t="s">
        <v>858</v>
      </c>
    </row>
    <row r="443" spans="2:13" s="43" customFormat="1" x14ac:dyDescent="0.25">
      <c r="B443" s="44"/>
      <c r="D443" s="7"/>
      <c r="E443" s="7"/>
      <c r="F443" s="7"/>
      <c r="G443" s="7"/>
      <c r="H443" s="7"/>
    </row>
    <row r="444" spans="2:13" s="43" customFormat="1" ht="24.95" customHeight="1" x14ac:dyDescent="0.25">
      <c r="B444" s="390" t="s">
        <v>892</v>
      </c>
      <c r="K444"/>
      <c r="L444"/>
      <c r="M444"/>
    </row>
    <row r="445" spans="2:13" s="43" customFormat="1" ht="15.95" customHeight="1" x14ac:dyDescent="0.25">
      <c r="B445" s="376" t="s">
        <v>239</v>
      </c>
      <c r="K445" s="12"/>
      <c r="L445" s="12"/>
      <c r="M445" s="12"/>
    </row>
    <row r="446" spans="2:13" customFormat="1" x14ac:dyDescent="0.25">
      <c r="B446" s="480" t="s">
        <v>64</v>
      </c>
      <c r="C446" s="480" t="s">
        <v>121</v>
      </c>
      <c r="D446" s="480" t="s">
        <v>17</v>
      </c>
      <c r="E446" s="482" t="s">
        <v>21</v>
      </c>
      <c r="F446" s="483"/>
      <c r="G446" s="484"/>
      <c r="H446" s="480" t="s">
        <v>90</v>
      </c>
      <c r="I446" s="480" t="s">
        <v>122</v>
      </c>
      <c r="K446" s="12"/>
      <c r="L446" s="12"/>
      <c r="M446" s="12"/>
    </row>
    <row r="447" spans="2:13" customFormat="1" x14ac:dyDescent="0.25">
      <c r="B447" s="481"/>
      <c r="C447" s="481"/>
      <c r="D447" s="481"/>
      <c r="E447" s="414" t="s">
        <v>25</v>
      </c>
      <c r="F447" s="414" t="s">
        <v>26</v>
      </c>
      <c r="G447" s="414" t="s">
        <v>99</v>
      </c>
      <c r="H447" s="481"/>
      <c r="I447" s="481"/>
      <c r="K447" s="12"/>
      <c r="L447" s="12"/>
      <c r="M447" s="12"/>
    </row>
    <row r="448" spans="2:13" s="43" customFormat="1" ht="15.95" customHeight="1" x14ac:dyDescent="0.25">
      <c r="B448" s="142">
        <f>'Evolução saldo devedor'!$B$512</f>
        <v>1</v>
      </c>
      <c r="C448" s="179">
        <f>'Evolução saldo devedor'!$C$512</f>
        <v>7076.02</v>
      </c>
      <c r="D448" s="179">
        <f>'Evolução saldo devedor'!$D$512</f>
        <v>331.89250191718025</v>
      </c>
      <c r="E448" s="179">
        <f>'Evolução saldo devedor'!$E$512</f>
        <v>223.60223200000004</v>
      </c>
      <c r="F448" s="179">
        <f>'Evolução saldo devedor'!$F$512</f>
        <v>0</v>
      </c>
      <c r="G448" s="179">
        <f>'Evolução saldo devedor'!$G$512</f>
        <v>223.60223200000004</v>
      </c>
      <c r="H448" s="179">
        <f>'Evolução saldo devedor'!$H$512</f>
        <v>108.29026991718021</v>
      </c>
      <c r="I448" s="179">
        <f>'Evolução saldo devedor'!$I$512</f>
        <v>6967.7297300828204</v>
      </c>
      <c r="K448" s="12"/>
      <c r="L448" s="12"/>
      <c r="M448" s="12"/>
    </row>
    <row r="449" spans="2:13" s="43" customFormat="1" ht="15.95" customHeight="1" x14ac:dyDescent="0.25">
      <c r="B449" s="142">
        <f>'Evolução saldo devedor'!$B$513</f>
        <v>2</v>
      </c>
      <c r="C449" s="179">
        <f>'Evolução saldo devedor'!$C$513</f>
        <v>6967.7297300828204</v>
      </c>
      <c r="D449" s="179">
        <f>'Evolução saldo devedor'!$D$513</f>
        <v>331.89250191718025</v>
      </c>
      <c r="E449" s="179">
        <f>'Evolução saldo devedor'!$E$513</f>
        <v>213.43569161556528</v>
      </c>
      <c r="F449" s="179">
        <f>'Evolução saldo devedor'!$F$513</f>
        <v>6.7445678550518835</v>
      </c>
      <c r="G449" s="179">
        <f>'Evolução saldo devedor'!$G$513</f>
        <v>220.18025947061716</v>
      </c>
      <c r="H449" s="179">
        <f>'Evolução saldo devedor'!$H$513</f>
        <v>111.7122424465631</v>
      </c>
      <c r="I449" s="179">
        <f>'Evolução saldo devedor'!$I$513</f>
        <v>6856.0174876362571</v>
      </c>
      <c r="K449" s="12"/>
      <c r="L449" s="12"/>
      <c r="M449" s="12"/>
    </row>
    <row r="450" spans="2:13" s="43" customFormat="1" ht="15.95" customHeight="1" x14ac:dyDescent="0.25">
      <c r="B450" s="142">
        <f>'Evolução saldo devedor'!$B$514</f>
        <v>3</v>
      </c>
      <c r="C450" s="179">
        <f>'Evolução saldo devedor'!$C$514</f>
        <v>6856.0174876362571</v>
      </c>
      <c r="D450" s="179">
        <f>'Evolução saldo devedor'!$D$514</f>
        <v>331.89250191718025</v>
      </c>
      <c r="E450" s="179">
        <f>'Evolução saldo devedor'!$E$514</f>
        <v>203.58057298001393</v>
      </c>
      <c r="F450" s="179">
        <f>'Evolução saldo devedor'!$F$514</f>
        <v>13.069579629291809</v>
      </c>
      <c r="G450" s="179">
        <f>'Evolução saldo devedor'!$G$514</f>
        <v>216.65015260930574</v>
      </c>
      <c r="H450" s="179">
        <f>'Evolução saldo devedor'!$H$514</f>
        <v>115.24234930787452</v>
      </c>
      <c r="I450" s="179">
        <f>'Evolução saldo devedor'!$I$514</f>
        <v>6740.775138328383</v>
      </c>
      <c r="K450" s="12"/>
      <c r="L450" s="12"/>
      <c r="M450" s="12"/>
    </row>
    <row r="451" spans="2:13" s="43" customFormat="1" ht="15.95" customHeight="1" x14ac:dyDescent="0.25">
      <c r="B451" s="137" t="s">
        <v>307</v>
      </c>
      <c r="C451" s="137" t="s">
        <v>307</v>
      </c>
      <c r="D451" s="137" t="s">
        <v>307</v>
      </c>
      <c r="E451" s="137" t="s">
        <v>307</v>
      </c>
      <c r="F451" s="137" t="s">
        <v>307</v>
      </c>
      <c r="G451" s="137" t="s">
        <v>307</v>
      </c>
      <c r="H451" s="137" t="s">
        <v>307</v>
      </c>
      <c r="I451" s="137" t="s">
        <v>307</v>
      </c>
      <c r="K451" s="12"/>
      <c r="L451" s="12"/>
      <c r="M451" s="12"/>
    </row>
    <row r="452" spans="2:13" s="95" customFormat="1" ht="15.95" customHeight="1" x14ac:dyDescent="0.25">
      <c r="B452" s="137">
        <f ca="1">INDIRECT(ADDRESS((ROW('Evolução saldo devedor'!$B$428)-1),2,,,"Evolução saldo devedor"))</f>
        <v>36</v>
      </c>
      <c r="C452" s="179">
        <f ca="1">INDIRECT(ADDRESS((ROW('Evolução saldo devedor'!$C$548)-1),3,,,"Evolução saldo devedor"))</f>
        <v>321.72596153276282</v>
      </c>
      <c r="D452" s="179">
        <f ca="1">INDIRECT(ADDRESS((ROW('Evolução saldo devedor'!$D$548)-1),4,,,"Evolução saldo devedor"))</f>
        <v>331.89250191718025</v>
      </c>
      <c r="E452" s="179">
        <f ca="1">INDIRECT(ADDRESS((ROW('Evolução saldo devedor'!$E$548)-1),5,,,"Evolução saldo devedor"))</f>
        <v>3.4219725293831988</v>
      </c>
      <c r="F452" s="179">
        <f ca="1">INDIRECT(ADDRESS((ROW('Evolução saldo devedor'!$F$548)-1),6,,,"Evolução saldo devedor"))</f>
        <v>6.7445678550521073</v>
      </c>
      <c r="G452" s="179">
        <f ca="1">INDIRECT(ADDRESS((ROW('Evolução saldo devedor'!$G$548)-1),7,,,"Evolução saldo devedor"))</f>
        <v>10.166540384435306</v>
      </c>
      <c r="H452" s="179">
        <f ca="1">INDIRECT(ADDRESS((ROW('Evolução saldo devedor'!$H$548)-1),8,,,"Evolução saldo devedor"))</f>
        <v>321.72596153274498</v>
      </c>
      <c r="I452" s="179">
        <f ca="1">INDIRECT(ADDRESS((ROW('Evolução saldo devedor'!$I$548)-1),9,,,"Evolução saldo devedor"))</f>
        <v>1.7848833522293717E-11</v>
      </c>
      <c r="K452" s="12"/>
      <c r="L452" s="12"/>
      <c r="M452" s="12"/>
    </row>
    <row r="453" spans="2:13" s="95" customFormat="1" ht="15.95" customHeight="1" x14ac:dyDescent="0.25">
      <c r="B453" s="292"/>
      <c r="C453" s="293" t="s">
        <v>123</v>
      </c>
      <c r="D453" s="154">
        <f ca="1">'Evolução saldo devedor'!$D$548</f>
        <v>11948.130069018489</v>
      </c>
      <c r="E453" s="154">
        <f ca="1">'Evolução saldo devedor'!$E$548</f>
        <v>3401.1725149815093</v>
      </c>
      <c r="F453" s="154">
        <f ca="1">'Evolução saldo devedor'!$F$548</f>
        <v>1470.9375540369963</v>
      </c>
      <c r="G453" s="154">
        <f ca="1">'Evolução saldo devedor'!$G$548</f>
        <v>4872.1100690185067</v>
      </c>
      <c r="H453" s="154">
        <f ca="1">'Evolução saldo devedor'!$H$548</f>
        <v>7076.0199999999822</v>
      </c>
      <c r="I453" s="321"/>
      <c r="K453" s="12"/>
      <c r="L453" s="12"/>
      <c r="M453" s="12"/>
    </row>
  </sheetData>
  <sheetProtection password="C6BE" sheet="1" objects="1" scenarios="1" formatColumns="0"/>
  <mergeCells count="84">
    <mergeCell ref="B36:C36"/>
    <mergeCell ref="B37:C37"/>
    <mergeCell ref="B38:C38"/>
    <mergeCell ref="B39:C39"/>
    <mergeCell ref="E383:E384"/>
    <mergeCell ref="D196:D197"/>
    <mergeCell ref="E196:F196"/>
    <mergeCell ref="D311:F311"/>
    <mergeCell ref="D323:F323"/>
    <mergeCell ref="D199:D200"/>
    <mergeCell ref="E199:F200"/>
    <mergeCell ref="E391:E392"/>
    <mergeCell ref="D169:D170"/>
    <mergeCell ref="E169:G169"/>
    <mergeCell ref="B22:H25"/>
    <mergeCell ref="B196:B197"/>
    <mergeCell ref="C196:C197"/>
    <mergeCell ref="B169:B170"/>
    <mergeCell ref="C169:C170"/>
    <mergeCell ref="C188:D188"/>
    <mergeCell ref="C189:D189"/>
    <mergeCell ref="C190:D190"/>
    <mergeCell ref="B72:B74"/>
    <mergeCell ref="C72:F72"/>
    <mergeCell ref="C73:F73"/>
    <mergeCell ref="B35:C35"/>
    <mergeCell ref="G196:H196"/>
    <mergeCell ref="G199:H200"/>
    <mergeCell ref="J199:K200"/>
    <mergeCell ref="M199:N200"/>
    <mergeCell ref="B40:C40"/>
    <mergeCell ref="E43:F43"/>
    <mergeCell ref="N95:N96"/>
    <mergeCell ref="B94:B96"/>
    <mergeCell ref="G95:H95"/>
    <mergeCell ref="I95:J95"/>
    <mergeCell ref="K95:L95"/>
    <mergeCell ref="C94:F95"/>
    <mergeCell ref="K126:N126"/>
    <mergeCell ref="H127:H128"/>
    <mergeCell ref="I127:I128"/>
    <mergeCell ref="O126:R126"/>
    <mergeCell ref="K127:K128"/>
    <mergeCell ref="L127:L128"/>
    <mergeCell ref="M127:M128"/>
    <mergeCell ref="N127:N128"/>
    <mergeCell ref="O127:O128"/>
    <mergeCell ref="R127:R128"/>
    <mergeCell ref="T137:U137"/>
    <mergeCell ref="H137:I137"/>
    <mergeCell ref="L137:M137"/>
    <mergeCell ref="P137:Q137"/>
    <mergeCell ref="J127:J128"/>
    <mergeCell ref="P127:P128"/>
    <mergeCell ref="Q127:Q128"/>
    <mergeCell ref="S127:S128"/>
    <mergeCell ref="B415:B416"/>
    <mergeCell ref="C415:C416"/>
    <mergeCell ref="D415:D416"/>
    <mergeCell ref="E415:G415"/>
    <mergeCell ref="F127:F128"/>
    <mergeCell ref="G127:G128"/>
    <mergeCell ref="B125:B128"/>
    <mergeCell ref="C125:F126"/>
    <mergeCell ref="G126:J126"/>
    <mergeCell ref="G125:V125"/>
    <mergeCell ref="T126:V126"/>
    <mergeCell ref="C127:C128"/>
    <mergeCell ref="D127:D128"/>
    <mergeCell ref="E127:E128"/>
    <mergeCell ref="J196:K196"/>
    <mergeCell ref="M196:N196"/>
    <mergeCell ref="I432:I433"/>
    <mergeCell ref="B432:B433"/>
    <mergeCell ref="C432:C433"/>
    <mergeCell ref="D432:D433"/>
    <mergeCell ref="E432:G432"/>
    <mergeCell ref="H432:H433"/>
    <mergeCell ref="I446:I447"/>
    <mergeCell ref="B446:B447"/>
    <mergeCell ref="C446:C447"/>
    <mergeCell ref="D446:D447"/>
    <mergeCell ref="E446:G446"/>
    <mergeCell ref="H446:H447"/>
  </mergeCells>
  <conditionalFormatting sqref="C138">
    <cfRule type="cellIs" dxfId="28" priority="7" operator="greaterThan">
      <formula>" "</formula>
    </cfRule>
  </conditionalFormatting>
  <hyperlinks>
    <hyperlink ref="C3" location="Cel_2.1" display="2.1) Os juros sobre juros da Tabela Price"/>
    <hyperlink ref="C4" location="Cel_2.1.1" display="2.1.1) As cláusulas do contrato"/>
    <hyperlink ref="C5" location="Cel_2.1.2" display="2.1.2) Calcular o montante e o valor total de juros"/>
    <hyperlink ref="C6" location="Cel_2.1.3" display="2.1.3) O valor dos juros e da amortização em cada parcela"/>
    <hyperlink ref="C7" location="Cel_2.1.4" display="2.1.4) Identificar a distribuição, mês a mês, do valor de juros de cada prestação"/>
    <hyperlink ref="C8" location="Cel_2.1.5" display="2.1.5) Os juros lineares e os juros sobre juros em cada mês da prestação"/>
    <hyperlink ref="C9" location="Cel_2.1.6" display="2.1.6) Os valores básicos do contrato, detalhados por juros lineares e juros sobre juros"/>
    <hyperlink ref="C11" location="Cel_2.2" display="2.2) Duodécuplo - O valor anual de juros efetivos e o valor anual de juros nominais"/>
    <hyperlink ref="C12" location="Cel_2.2.1" display="2.2.1) Análise do valor anual efetivo e do valor anual nominal na prestação 12 do contrato"/>
    <hyperlink ref="C13" location="Cel_2.2.2" display="2.2.2) Conclusões sobre taxas anuais e duodécuplo"/>
    <hyperlink ref="C15" location="Cel_2.3" display="2.3) A evolução do saldo devedor"/>
    <hyperlink ref="C16" location="Cel_2.3.1" display="2.3.1) Uma lenda urbana"/>
    <hyperlink ref="C17" location="Cel_2.3.2" display="2.3.2) Tabela 16 - a lógica de distribuição"/>
    <hyperlink ref="C18" location="Cel_2.3.3" display="2.3.3) Processo de formação dos juros INCONSISTENTE com processo de pagamento dos juros"/>
    <hyperlink ref="C20" location="Cel_2.4" display="2.4) Conclusões sobre a análise do Recurso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554"/>
  <sheetViews>
    <sheetView zoomScale="80" zoomScaleNormal="80" workbookViewId="0">
      <selection activeCell="A2" sqref="A2"/>
    </sheetView>
  </sheetViews>
  <sheetFormatPr defaultRowHeight="15" x14ac:dyDescent="0.25"/>
  <cols>
    <col min="1" max="1" width="5.7109375" style="12" customWidth="1"/>
    <col min="2" max="2" width="17.85546875" style="12" customWidth="1"/>
    <col min="3" max="3" width="21.5703125" style="12" customWidth="1"/>
    <col min="4" max="4" width="22.140625" style="12" customWidth="1"/>
    <col min="5" max="5" width="21" style="12" customWidth="1"/>
    <col min="6" max="6" width="16.140625" style="12" customWidth="1"/>
    <col min="7" max="7" width="23.28515625" style="12" customWidth="1"/>
    <col min="8" max="8" width="13.140625" style="12" customWidth="1"/>
    <col min="9" max="9" width="15.5703125" style="12" customWidth="1"/>
    <col min="10" max="10" width="13.140625" style="12" customWidth="1"/>
    <col min="11" max="11" width="17.5703125" style="12" customWidth="1"/>
    <col min="12" max="12" width="12.42578125" style="12" customWidth="1"/>
    <col min="13" max="13" width="13" style="12" customWidth="1"/>
    <col min="14" max="14" width="12.28515625" style="12" customWidth="1"/>
    <col min="15" max="15" width="17.28515625" style="12" customWidth="1"/>
    <col min="16" max="17" width="14.140625" style="12" customWidth="1"/>
    <col min="18" max="18" width="12.85546875" style="12" customWidth="1"/>
    <col min="19" max="19" width="18.42578125" style="12" customWidth="1"/>
    <col min="20" max="20" width="13.7109375" style="12" customWidth="1"/>
    <col min="21" max="21" width="16.85546875" style="12" customWidth="1"/>
    <col min="22" max="22" width="14.140625" style="12" customWidth="1"/>
    <col min="23" max="23" width="18.42578125" style="12" customWidth="1"/>
    <col min="24" max="24" width="12.28515625" style="12" customWidth="1"/>
    <col min="25" max="25" width="12.42578125" style="12" customWidth="1"/>
    <col min="26" max="26" width="12.7109375" style="12" customWidth="1"/>
    <col min="27" max="27" width="17.28515625" style="12" customWidth="1"/>
    <col min="28" max="28" width="13.7109375" style="12" customWidth="1"/>
    <col min="29" max="29" width="12.5703125" style="12" customWidth="1"/>
    <col min="30" max="30" width="13.42578125" style="12" customWidth="1"/>
    <col min="31" max="31" width="17.140625" style="12" customWidth="1"/>
    <col min="32" max="32" width="13.140625" style="12" customWidth="1"/>
    <col min="33" max="33" width="13.85546875" style="12" customWidth="1"/>
    <col min="34" max="34" width="13.5703125" style="12" customWidth="1"/>
    <col min="35" max="35" width="17.42578125" style="12" customWidth="1"/>
    <col min="36" max="36" width="12.7109375" style="12" customWidth="1"/>
    <col min="37" max="37" width="12.42578125" style="12" customWidth="1"/>
    <col min="38" max="38" width="13.28515625" style="12" customWidth="1"/>
    <col min="39" max="39" width="17.85546875" style="12" customWidth="1"/>
    <col min="40" max="40" width="13.5703125" style="12" customWidth="1"/>
    <col min="41" max="41" width="14" style="12" customWidth="1"/>
    <col min="42" max="42" width="13.140625" style="12" customWidth="1"/>
    <col min="43" max="43" width="18" style="12" customWidth="1"/>
    <col min="44" max="44" width="13.85546875" style="12" customWidth="1"/>
    <col min="45" max="45" width="14.5703125" style="12" customWidth="1"/>
    <col min="46" max="46" width="13.5703125" style="12" customWidth="1"/>
    <col min="47" max="47" width="18.140625" style="12" customWidth="1"/>
    <col min="48" max="48" width="12.85546875" style="12" customWidth="1"/>
    <col min="49" max="49" width="14.42578125" style="12" customWidth="1"/>
    <col min="50" max="50" width="13.7109375" style="12" customWidth="1"/>
    <col min="51" max="51" width="17.85546875" style="12" customWidth="1"/>
    <col min="52" max="52" width="13.140625" style="12" customWidth="1"/>
    <col min="53" max="53" width="14" style="12" customWidth="1"/>
    <col min="54" max="54" width="12.7109375" style="12" customWidth="1"/>
    <col min="55" max="55" width="17.7109375" style="12" customWidth="1"/>
    <col min="56" max="56" width="12.28515625" style="12" customWidth="1"/>
    <col min="57" max="57" width="13.42578125" style="12" customWidth="1"/>
    <col min="58" max="58" width="13.28515625" style="12" customWidth="1"/>
    <col min="59" max="59" width="17.42578125" style="12" customWidth="1"/>
    <col min="60" max="60" width="13.42578125" style="12" customWidth="1"/>
    <col min="61" max="61" width="14.140625" style="12" customWidth="1"/>
    <col min="62" max="62" width="12.42578125" style="12" customWidth="1"/>
    <col min="63" max="63" width="18.28515625" style="12" customWidth="1"/>
    <col min="64" max="64" width="13.42578125" style="12" customWidth="1"/>
    <col min="65" max="65" width="13.85546875" style="12" customWidth="1"/>
    <col min="66" max="66" width="12.5703125" style="12" customWidth="1"/>
    <col min="67" max="67" width="18.28515625" style="12" customWidth="1"/>
    <col min="68" max="68" width="12.85546875" style="12" customWidth="1"/>
    <col min="69" max="69" width="15.85546875" style="12" customWidth="1"/>
    <col min="70" max="70" width="13.140625" style="12" customWidth="1"/>
    <col min="71" max="71" width="19.42578125" style="12" customWidth="1"/>
    <col min="72" max="72" width="13.28515625" style="12" customWidth="1"/>
    <col min="73" max="73" width="15.140625" style="12" customWidth="1"/>
    <col min="74" max="74" width="13.140625" style="12" customWidth="1"/>
    <col min="75" max="75" width="17.140625" style="12" customWidth="1"/>
    <col min="76" max="76" width="13" style="12" customWidth="1"/>
    <col min="77" max="77" width="14" style="12" customWidth="1"/>
    <col min="78" max="78" width="17.140625" style="12" customWidth="1"/>
    <col min="79" max="79" width="17.7109375" style="12" customWidth="1"/>
    <col min="80" max="80" width="12.85546875" style="12" customWidth="1"/>
    <col min="81" max="81" width="12.5703125" style="12" customWidth="1"/>
    <col min="82" max="82" width="13.7109375" style="12" customWidth="1"/>
    <col min="83" max="83" width="18.7109375" style="12" customWidth="1"/>
    <col min="84" max="84" width="12.7109375" style="12" customWidth="1"/>
    <col min="85" max="85" width="13.7109375" style="12" customWidth="1"/>
    <col min="86" max="86" width="12.7109375" style="12" customWidth="1"/>
    <col min="87" max="87" width="18.42578125" style="12" customWidth="1"/>
    <col min="88" max="88" width="14.140625" style="12" customWidth="1"/>
    <col min="89" max="89" width="12.42578125" style="12" customWidth="1"/>
    <col min="90" max="90" width="12.7109375" style="12" customWidth="1"/>
    <col min="91" max="91" width="17.5703125" style="12" customWidth="1"/>
    <col min="92" max="92" width="13.7109375" style="12" customWidth="1"/>
    <col min="93" max="93" width="12.5703125" style="12" customWidth="1"/>
    <col min="94" max="94" width="13.85546875" style="12" customWidth="1"/>
    <col min="95" max="95" width="17.85546875" style="12" customWidth="1"/>
    <col min="96" max="96" width="12.42578125" style="12" customWidth="1"/>
    <col min="97" max="97" width="13.28515625" style="12" customWidth="1"/>
    <col min="98" max="98" width="13.140625" style="12" customWidth="1"/>
    <col min="99" max="99" width="17.7109375" style="12" customWidth="1"/>
    <col min="100" max="100" width="12.85546875" style="12" customWidth="1"/>
    <col min="101" max="101" width="13.85546875" style="12" customWidth="1"/>
    <col min="102" max="102" width="12.5703125" style="12" customWidth="1"/>
    <col min="103" max="103" width="17.5703125" style="12" customWidth="1"/>
    <col min="104" max="104" width="12.85546875" style="12" customWidth="1"/>
    <col min="105" max="105" width="13.85546875" style="12" customWidth="1"/>
    <col min="106" max="106" width="13.28515625" style="12" customWidth="1"/>
    <col min="107" max="107" width="17.85546875" style="12" customWidth="1"/>
    <col min="108" max="109" width="13.28515625" style="12" customWidth="1"/>
    <col min="110" max="110" width="13" style="12" customWidth="1"/>
    <col min="111" max="111" width="18.42578125" style="12" customWidth="1"/>
    <col min="112" max="112" width="13" style="12" customWidth="1"/>
    <col min="113" max="113" width="13.7109375" style="12" customWidth="1"/>
    <col min="114" max="114" width="13.85546875" style="12" customWidth="1"/>
    <col min="115" max="115" width="18" style="12" customWidth="1"/>
    <col min="116" max="116" width="12.42578125" style="12" customWidth="1"/>
    <col min="117" max="117" width="12.85546875" style="12" customWidth="1"/>
    <col min="118" max="118" width="13.85546875" style="12" customWidth="1"/>
    <col min="119" max="119" width="17.85546875" style="12" customWidth="1"/>
    <col min="120" max="120" width="14.28515625" style="12" customWidth="1"/>
    <col min="121" max="121" width="14" style="12" customWidth="1"/>
    <col min="122" max="122" width="13.85546875" style="12" customWidth="1"/>
    <col min="123" max="123" width="17.140625" style="12" customWidth="1"/>
    <col min="124" max="124" width="13.140625" style="12" customWidth="1"/>
    <col min="125" max="125" width="12.85546875" style="12" customWidth="1"/>
    <col min="126" max="126" width="14.42578125" style="12" customWidth="1"/>
    <col min="127" max="127" width="17.5703125" style="12" customWidth="1"/>
    <col min="128" max="128" width="13.42578125" style="12" customWidth="1"/>
    <col min="129" max="130" width="13.140625" style="12" customWidth="1"/>
    <col min="131" max="131" width="17.7109375" style="12" customWidth="1"/>
    <col min="132" max="133" width="13.7109375" style="12" customWidth="1"/>
    <col min="134" max="134" width="12.85546875" style="12" customWidth="1"/>
    <col min="135" max="135" width="19" style="12" customWidth="1"/>
    <col min="136" max="136" width="13.5703125" style="12" customWidth="1"/>
    <col min="137" max="137" width="13.28515625" style="12" customWidth="1"/>
    <col min="138" max="138" width="14.28515625" style="12" customWidth="1"/>
    <col min="139" max="139" width="18" style="12" customWidth="1"/>
    <col min="140" max="140" width="12.5703125" style="12" customWidth="1"/>
    <col min="141" max="141" width="13.5703125" style="12" customWidth="1"/>
    <col min="142" max="142" width="12.85546875" style="12" customWidth="1"/>
    <col min="143" max="143" width="18.140625" style="12" customWidth="1"/>
    <col min="144" max="144" width="13.28515625" style="12" customWidth="1"/>
    <col min="145" max="145" width="13.5703125" style="12" customWidth="1"/>
    <col min="146" max="146" width="13.42578125" style="12" customWidth="1"/>
    <col min="147" max="147" width="18.5703125" style="12" customWidth="1"/>
    <col min="148" max="148" width="12.7109375" style="12" customWidth="1"/>
    <col min="149" max="149" width="13.7109375" style="12" customWidth="1"/>
    <col min="150" max="150" width="13.5703125" style="12" customWidth="1"/>
    <col min="151" max="151" width="15" style="12" customWidth="1"/>
    <col min="152" max="152" width="17.7109375" style="12" customWidth="1"/>
    <col min="153" max="153" width="15.28515625" style="12" customWidth="1"/>
    <col min="154" max="16384" width="9.140625" style="12"/>
  </cols>
  <sheetData>
    <row r="1" spans="1:3" s="38" customFormat="1" ht="30" customHeight="1" x14ac:dyDescent="0.25">
      <c r="A1" s="377" t="s">
        <v>350</v>
      </c>
    </row>
    <row r="2" spans="1:3" s="38" customFormat="1" ht="15.95" customHeight="1" x14ac:dyDescent="0.25">
      <c r="C2" s="420" t="s">
        <v>860</v>
      </c>
    </row>
    <row r="3" spans="1:3" s="38" customFormat="1" ht="15.95" customHeight="1" x14ac:dyDescent="0.25">
      <c r="C3" s="450" t="s">
        <v>361</v>
      </c>
    </row>
    <row r="4" spans="1:3" s="38" customFormat="1" ht="15.95" customHeight="1" x14ac:dyDescent="0.25">
      <c r="C4" s="450" t="s">
        <v>743</v>
      </c>
    </row>
    <row r="5" spans="1:3" s="38" customFormat="1" ht="15.95" customHeight="1" x14ac:dyDescent="0.25">
      <c r="C5" s="450" t="s">
        <v>938</v>
      </c>
    </row>
    <row r="6" spans="1:3" s="38" customFormat="1" ht="15.95" customHeight="1" x14ac:dyDescent="0.25">
      <c r="C6" s="453" t="s">
        <v>865</v>
      </c>
    </row>
    <row r="7" spans="1:3" s="38" customFormat="1" ht="15.95" customHeight="1" x14ac:dyDescent="0.25">
      <c r="C7" s="453" t="s">
        <v>866</v>
      </c>
    </row>
    <row r="8" spans="1:3" s="38" customFormat="1" ht="15.95" customHeight="1" x14ac:dyDescent="0.25">
      <c r="C8" s="450" t="s">
        <v>867</v>
      </c>
    </row>
    <row r="9" spans="1:3" s="38" customFormat="1" ht="15.95" customHeight="1" x14ac:dyDescent="0.25">
      <c r="C9" s="450" t="s">
        <v>871</v>
      </c>
    </row>
    <row r="10" spans="1:3" s="38" customFormat="1" ht="15.95" customHeight="1" x14ac:dyDescent="0.25">
      <c r="C10" s="450" t="s">
        <v>872</v>
      </c>
    </row>
    <row r="11" spans="1:3" s="38" customFormat="1" ht="15.95" customHeight="1" x14ac:dyDescent="0.25">
      <c r="C11" s="450" t="s">
        <v>873</v>
      </c>
    </row>
    <row r="12" spans="1:3" s="38" customFormat="1" ht="15.95" customHeight="1" x14ac:dyDescent="0.25">
      <c r="C12" s="450" t="s">
        <v>874</v>
      </c>
    </row>
    <row r="13" spans="1:3" s="38" customFormat="1" ht="15.95" customHeight="1" x14ac:dyDescent="0.25">
      <c r="C13" s="450" t="s">
        <v>875</v>
      </c>
    </row>
    <row r="14" spans="1:3" s="38" customFormat="1" ht="15.95" customHeight="1" x14ac:dyDescent="0.25">
      <c r="C14" s="450" t="s">
        <v>876</v>
      </c>
    </row>
    <row r="15" spans="1:3" s="38" customFormat="1" ht="15.95" customHeight="1" x14ac:dyDescent="0.25">
      <c r="C15" s="450" t="s">
        <v>877</v>
      </c>
    </row>
    <row r="16" spans="1:3" s="38" customFormat="1" ht="15.95" customHeight="1" x14ac:dyDescent="0.25">
      <c r="C16" s="450" t="s">
        <v>878</v>
      </c>
    </row>
    <row r="17" spans="1:11" s="38" customFormat="1" ht="15.95" customHeight="1" x14ac:dyDescent="0.25">
      <c r="A17" s="120"/>
      <c r="B17" s="419"/>
      <c r="C17" s="419"/>
      <c r="D17" s="419"/>
    </row>
    <row r="18" spans="1:11" s="38" customFormat="1" ht="15.95" customHeight="1" x14ac:dyDescent="0.25">
      <c r="A18" s="120"/>
      <c r="B18" s="38" t="s">
        <v>233</v>
      </c>
      <c r="C18" s="25"/>
      <c r="D18" s="25"/>
    </row>
    <row r="19" spans="1:11" s="38" customFormat="1" ht="15.95" customHeight="1" x14ac:dyDescent="0.25">
      <c r="A19" s="120"/>
      <c r="B19" s="187" t="s">
        <v>939</v>
      </c>
      <c r="C19" s="25"/>
      <c r="D19" s="25"/>
    </row>
    <row r="20" spans="1:11" s="38" customFormat="1" ht="15.95" customHeight="1" x14ac:dyDescent="0.25">
      <c r="A20" s="120"/>
      <c r="B20" s="25"/>
      <c r="C20" s="25"/>
      <c r="D20" s="25"/>
    </row>
    <row r="21" spans="1:11" s="43" customFormat="1" ht="24.95" customHeight="1" x14ac:dyDescent="0.25">
      <c r="A21" s="379" t="s">
        <v>361</v>
      </c>
    </row>
    <row r="22" spans="1:11" s="38" customFormat="1" ht="15.95" customHeight="1" x14ac:dyDescent="0.25">
      <c r="B22" s="77" t="s">
        <v>136</v>
      </c>
    </row>
    <row r="23" spans="1:11" s="38" customFormat="1" ht="15.95" customHeight="1" x14ac:dyDescent="0.25">
      <c r="B23" s="77" t="s">
        <v>366</v>
      </c>
    </row>
    <row r="24" spans="1:11" s="38" customFormat="1" ht="15.95" customHeight="1" x14ac:dyDescent="0.25">
      <c r="B24" s="77" t="s">
        <v>75</v>
      </c>
    </row>
    <row r="25" spans="1:11" s="38" customFormat="1" ht="15.95" customHeight="1" x14ac:dyDescent="0.25">
      <c r="B25" s="77" t="s">
        <v>937</v>
      </c>
    </row>
    <row r="26" spans="1:11" s="38" customFormat="1" ht="15.95" customHeight="1" x14ac:dyDescent="0.25">
      <c r="B26" s="77" t="s">
        <v>870</v>
      </c>
    </row>
    <row r="27" spans="1:11" s="38" customFormat="1" ht="15.95" customHeight="1" x14ac:dyDescent="0.25">
      <c r="A27" s="120"/>
      <c r="B27" s="25"/>
      <c r="C27" s="25"/>
      <c r="D27" s="25"/>
    </row>
    <row r="28" spans="1:11" s="43" customFormat="1" ht="24.95" customHeight="1" x14ac:dyDescent="0.25">
      <c r="A28" s="378" t="s">
        <v>743</v>
      </c>
    </row>
    <row r="29" spans="1:11" s="38" customFormat="1" ht="15.95" customHeight="1" x14ac:dyDescent="0.25"/>
    <row r="30" spans="1:11" s="38" customFormat="1" ht="24.95" customHeight="1" thickBot="1" x14ac:dyDescent="0.3">
      <c r="B30" s="390" t="s">
        <v>27</v>
      </c>
      <c r="D30" s="40"/>
      <c r="E30" s="40"/>
      <c r="I30" s="40"/>
      <c r="J30" s="40"/>
      <c r="K30" s="40"/>
    </row>
    <row r="31" spans="1:11" s="38" customFormat="1" ht="15.95" customHeight="1" x14ac:dyDescent="0.25">
      <c r="B31" s="500" t="s">
        <v>0</v>
      </c>
      <c r="C31" s="500"/>
      <c r="D31" s="107" t="s">
        <v>1</v>
      </c>
      <c r="E31" s="198">
        <v>7076.02</v>
      </c>
      <c r="H31" s="189" t="s">
        <v>138</v>
      </c>
      <c r="I31" s="190"/>
      <c r="J31" s="191"/>
      <c r="K31" s="40"/>
    </row>
    <row r="32" spans="1:11" s="38" customFormat="1" ht="15.95" customHeight="1" x14ac:dyDescent="0.25">
      <c r="B32" s="500" t="s">
        <v>2</v>
      </c>
      <c r="C32" s="500"/>
      <c r="D32" s="107" t="s">
        <v>3</v>
      </c>
      <c r="E32" s="199">
        <v>3.1600000000000003E-2</v>
      </c>
      <c r="H32" s="192"/>
      <c r="I32" s="40"/>
      <c r="J32" s="59"/>
      <c r="K32" s="40"/>
    </row>
    <row r="33" spans="1:11" s="38" customFormat="1" ht="15.95" customHeight="1" x14ac:dyDescent="0.25">
      <c r="B33" s="500" t="s">
        <v>4</v>
      </c>
      <c r="C33" s="500"/>
      <c r="D33" s="107" t="s">
        <v>5</v>
      </c>
      <c r="E33" s="200">
        <v>36</v>
      </c>
      <c r="H33" s="193" t="s">
        <v>338</v>
      </c>
      <c r="I33" s="40"/>
      <c r="J33" s="59"/>
      <c r="K33" s="40"/>
    </row>
    <row r="34" spans="1:11" s="38" customFormat="1" ht="15.95" customHeight="1" x14ac:dyDescent="0.25">
      <c r="B34" s="500" t="s">
        <v>11</v>
      </c>
      <c r="C34" s="500"/>
      <c r="D34" s="107" t="s">
        <v>12</v>
      </c>
      <c r="E34" s="200"/>
      <c r="H34" s="193" t="s">
        <v>364</v>
      </c>
      <c r="I34" s="40"/>
      <c r="J34" s="59"/>
      <c r="K34" s="40"/>
    </row>
    <row r="35" spans="1:11" s="38" customFormat="1" ht="15.95" customHeight="1" x14ac:dyDescent="0.25">
      <c r="B35" s="500" t="s">
        <v>98</v>
      </c>
      <c r="C35" s="500"/>
      <c r="D35" s="107" t="s">
        <v>6</v>
      </c>
      <c r="E35" s="198">
        <v>331.83</v>
      </c>
      <c r="H35" s="193" t="s">
        <v>365</v>
      </c>
      <c r="I35" s="40"/>
      <c r="J35" s="59"/>
      <c r="K35" s="40"/>
    </row>
    <row r="36" spans="1:11" s="38" customFormat="1" ht="15.95" customHeight="1" x14ac:dyDescent="0.25">
      <c r="B36" s="500" t="s">
        <v>7</v>
      </c>
      <c r="C36" s="500"/>
      <c r="D36" s="107" t="s">
        <v>8</v>
      </c>
      <c r="E36" s="199">
        <v>0.37919999999999998</v>
      </c>
      <c r="H36" s="194"/>
      <c r="I36" s="40"/>
      <c r="J36" s="59"/>
      <c r="K36" s="40"/>
    </row>
    <row r="37" spans="1:11" s="38" customFormat="1" ht="15.95" customHeight="1" thickBot="1" x14ac:dyDescent="0.3">
      <c r="B37" s="500" t="s">
        <v>9</v>
      </c>
      <c r="C37" s="500"/>
      <c r="D37" s="107" t="s">
        <v>10</v>
      </c>
      <c r="E37" s="199">
        <v>0.45256600000000002</v>
      </c>
      <c r="H37" s="195"/>
      <c r="I37" s="196"/>
      <c r="J37" s="197"/>
      <c r="K37" s="40"/>
    </row>
    <row r="38" spans="1:11" s="38" customFormat="1" ht="15.95" customHeight="1" x14ac:dyDescent="0.25">
      <c r="B38" s="120"/>
      <c r="C38" s="120"/>
      <c r="D38" s="121"/>
      <c r="E38" s="122"/>
    </row>
    <row r="39" spans="1:11" s="43" customFormat="1" ht="24.95" customHeight="1" x14ac:dyDescent="0.25">
      <c r="A39" s="379" t="s">
        <v>938</v>
      </c>
      <c r="H39" s="38"/>
    </row>
    <row r="40" spans="1:11" s="38" customFormat="1" ht="15.95" customHeight="1" x14ac:dyDescent="0.25">
      <c r="A40" s="120"/>
    </row>
    <row r="41" spans="1:11" s="38" customFormat="1" ht="24.95" customHeight="1" x14ac:dyDescent="0.25">
      <c r="A41" s="381" t="s">
        <v>865</v>
      </c>
    </row>
    <row r="42" spans="1:11" s="119" customFormat="1" ht="15.95" customHeight="1" x14ac:dyDescent="0.25">
      <c r="A42" s="39"/>
      <c r="B42" s="77" t="s">
        <v>28</v>
      </c>
    </row>
    <row r="43" spans="1:11" s="38" customFormat="1" ht="15.95" customHeight="1" x14ac:dyDescent="0.25"/>
    <row r="44" spans="1:11" s="38" customFormat="1" ht="24.95" customHeight="1" x14ac:dyDescent="0.25">
      <c r="B44" s="391" t="s">
        <v>32</v>
      </c>
      <c r="E44" s="40"/>
      <c r="G44" s="374" t="s">
        <v>532</v>
      </c>
      <c r="H44" s="374"/>
    </row>
    <row r="45" spans="1:11" s="38" customFormat="1" ht="15.95" customHeight="1" x14ac:dyDescent="0.25">
      <c r="B45" s="564" t="s">
        <v>362</v>
      </c>
      <c r="C45" s="564"/>
      <c r="D45" s="564"/>
      <c r="E45" s="201">
        <f>E35</f>
        <v>331.83</v>
      </c>
      <c r="G45" s="375"/>
      <c r="H45" s="375"/>
    </row>
    <row r="46" spans="1:11" s="38" customFormat="1" ht="15.95" customHeight="1" x14ac:dyDescent="0.25">
      <c r="B46" s="564" t="s">
        <v>14</v>
      </c>
      <c r="C46" s="564"/>
      <c r="D46" s="565"/>
      <c r="E46" s="202">
        <f>(E31*E32)/(1-(1/POWER((1+E32),E33)))</f>
        <v>331.89250191718025</v>
      </c>
      <c r="G46" s="533" t="s">
        <v>363</v>
      </c>
      <c r="H46" s="534"/>
    </row>
    <row r="47" spans="1:11" s="38" customFormat="1" ht="15.95" customHeight="1" x14ac:dyDescent="0.25">
      <c r="D47" s="571" t="str">
        <f>IF(OR(($E$46-$E$45)&gt;0.1,($E$46-$E$45)&lt;-0.1),"DIVERGENTE","")</f>
        <v/>
      </c>
      <c r="E47" s="573"/>
    </row>
    <row r="48" spans="1:11" s="38" customFormat="1" ht="15.95" customHeight="1" x14ac:dyDescent="0.25">
      <c r="B48" s="77" t="s">
        <v>315</v>
      </c>
    </row>
    <row r="49" spans="1:12" s="38" customFormat="1" ht="15.95" customHeight="1" x14ac:dyDescent="0.25">
      <c r="B49" s="77" t="s">
        <v>316</v>
      </c>
    </row>
    <row r="50" spans="1:12" s="38" customFormat="1" ht="15.95" customHeight="1" x14ac:dyDescent="0.25"/>
    <row r="51" spans="1:12" s="38" customFormat="1" ht="24.95" customHeight="1" x14ac:dyDescent="0.25">
      <c r="A51" s="381" t="s">
        <v>866</v>
      </c>
    </row>
    <row r="52" spans="1:12" s="38" customFormat="1" ht="15.95" customHeight="1" x14ac:dyDescent="0.25">
      <c r="F52" s="203"/>
      <c r="H52" s="203"/>
      <c r="I52" s="204"/>
      <c r="J52" s="203"/>
    </row>
    <row r="53" spans="1:12" s="38" customFormat="1" ht="24.95" customHeight="1" x14ac:dyDescent="0.25">
      <c r="A53" s="41"/>
      <c r="B53" s="391" t="s">
        <v>33</v>
      </c>
      <c r="C53" s="61"/>
      <c r="D53" s="61"/>
      <c r="E53" s="77"/>
      <c r="F53" s="203"/>
      <c r="H53" s="42"/>
      <c r="I53" s="42"/>
      <c r="J53" s="42"/>
    </row>
    <row r="54" spans="1:12" s="119" customFormat="1" ht="15.95" customHeight="1" x14ac:dyDescent="0.25">
      <c r="A54" s="39"/>
      <c r="B54" s="564" t="s">
        <v>44</v>
      </c>
      <c r="C54" s="564"/>
      <c r="D54" s="209">
        <f>E32</f>
        <v>3.1600000000000003E-2</v>
      </c>
      <c r="E54" s="77"/>
      <c r="F54" s="203"/>
    </row>
    <row r="55" spans="1:12" s="119" customFormat="1" ht="15.95" customHeight="1" x14ac:dyDescent="0.25">
      <c r="B55" s="563" t="s">
        <v>45</v>
      </c>
      <c r="C55" s="563"/>
      <c r="D55" s="209">
        <f>E36</f>
        <v>0.37919999999999998</v>
      </c>
      <c r="E55" s="77"/>
      <c r="F55" s="203"/>
    </row>
    <row r="56" spans="1:12" s="119" customFormat="1" ht="15.95" customHeight="1" x14ac:dyDescent="0.25">
      <c r="B56" s="563" t="s">
        <v>46</v>
      </c>
      <c r="C56" s="563"/>
      <c r="D56" s="209">
        <f>E37</f>
        <v>0.45256600000000002</v>
      </c>
      <c r="E56" s="77"/>
      <c r="F56" s="203"/>
    </row>
    <row r="57" spans="1:12" s="119" customFormat="1" ht="15.95" customHeight="1" x14ac:dyDescent="0.25">
      <c r="B57" s="205"/>
      <c r="C57" s="205"/>
      <c r="D57" s="206"/>
      <c r="F57" s="207"/>
    </row>
    <row r="58" spans="1:12" s="38" customFormat="1" ht="24.95" customHeight="1" x14ac:dyDescent="0.25">
      <c r="B58" s="391" t="s">
        <v>34</v>
      </c>
      <c r="C58" s="61"/>
      <c r="D58" s="61"/>
      <c r="F58" s="371" t="s">
        <v>13</v>
      </c>
      <c r="G58" s="371"/>
      <c r="H58" s="371"/>
      <c r="I58" s="371"/>
      <c r="J58" s="371"/>
      <c r="K58" s="119"/>
      <c r="L58" s="119"/>
    </row>
    <row r="59" spans="1:12" s="38" customFormat="1" ht="15.95" customHeight="1" x14ac:dyDescent="0.25">
      <c r="B59" s="564" t="s">
        <v>29</v>
      </c>
      <c r="C59" s="564"/>
      <c r="D59" s="209">
        <f>E36/12</f>
        <v>3.1599999999999996E-2</v>
      </c>
      <c r="F59" s="574" t="s">
        <v>15</v>
      </c>
      <c r="G59" s="574"/>
      <c r="H59" s="533" t="s">
        <v>39</v>
      </c>
      <c r="I59" s="535"/>
      <c r="J59" s="534"/>
      <c r="K59" s="119"/>
      <c r="L59" s="119"/>
    </row>
    <row r="60" spans="1:12" s="38" customFormat="1" ht="15.95" customHeight="1" x14ac:dyDescent="0.25">
      <c r="B60" s="564" t="s">
        <v>30</v>
      </c>
      <c r="C60" s="565"/>
      <c r="D60" s="210">
        <f>(1+E37)^(1/12)-1</f>
        <v>3.1599974838367961E-2</v>
      </c>
      <c r="F60" s="574" t="s">
        <v>16</v>
      </c>
      <c r="G60" s="574"/>
      <c r="H60" s="533" t="s">
        <v>40</v>
      </c>
      <c r="I60" s="535"/>
      <c r="J60" s="534"/>
      <c r="K60" s="119"/>
      <c r="L60" s="119"/>
    </row>
    <row r="61" spans="1:12" s="38" customFormat="1" ht="15.95" customHeight="1" x14ac:dyDescent="0.25">
      <c r="C61" s="566" t="str">
        <f>IF(OR(($D$59-$D$54)&gt;0.0001,($D$59-$D$54)&lt;-0.0001,($D$60-$D$54)&gt;0.0001,($D$60-$D$54)&lt;-0.0001),"DIVERGENTE","")</f>
        <v/>
      </c>
      <c r="D61" s="567"/>
      <c r="K61" s="119"/>
      <c r="L61" s="119"/>
    </row>
    <row r="62" spans="1:12" s="38" customFormat="1" ht="15.95" customHeight="1" x14ac:dyDescent="0.25">
      <c r="B62" s="77" t="s">
        <v>89</v>
      </c>
    </row>
    <row r="63" spans="1:12" s="38" customFormat="1" ht="15.95" customHeight="1" x14ac:dyDescent="0.25">
      <c r="B63" s="77" t="s">
        <v>41</v>
      </c>
      <c r="I63" s="208"/>
    </row>
    <row r="64" spans="1:12" s="38" customFormat="1" ht="15.95" customHeight="1" x14ac:dyDescent="0.25">
      <c r="B64" s="77" t="s">
        <v>42</v>
      </c>
    </row>
    <row r="65" spans="1:12" s="38" customFormat="1" ht="15.95" customHeight="1" x14ac:dyDescent="0.25">
      <c r="B65" s="77" t="s">
        <v>234</v>
      </c>
    </row>
    <row r="66" spans="1:12" s="38" customFormat="1" ht="15.95" customHeight="1" x14ac:dyDescent="0.25"/>
    <row r="67" spans="1:12" s="43" customFormat="1" ht="24.95" customHeight="1" x14ac:dyDescent="0.25">
      <c r="A67" s="379" t="s">
        <v>867</v>
      </c>
    </row>
    <row r="68" spans="1:12" s="38" customFormat="1" ht="15.95" customHeight="1" x14ac:dyDescent="0.25">
      <c r="B68" s="77" t="s">
        <v>868</v>
      </c>
    </row>
    <row r="69" spans="1:12" s="38" customFormat="1" ht="15.95" customHeight="1" x14ac:dyDescent="0.25">
      <c r="B69" s="188" t="s">
        <v>367</v>
      </c>
      <c r="C69" s="82"/>
      <c r="D69" s="82"/>
      <c r="E69" s="82"/>
      <c r="H69" s="558" t="str">
        <f ca="1">$C$148</f>
        <v/>
      </c>
      <c r="I69" s="559"/>
      <c r="K69" s="455" t="str">
        <f ca="1">IF($C$148&lt;&gt;"","CLIQUE AQUI PARA ATUALIZAR A TABELA 06","")</f>
        <v/>
      </c>
      <c r="L69" s="455"/>
    </row>
    <row r="70" spans="1:12" s="38" customFormat="1" ht="15.95" customHeight="1" x14ac:dyDescent="0.25">
      <c r="B70" s="188" t="s">
        <v>523</v>
      </c>
      <c r="C70" s="82"/>
      <c r="D70" s="82"/>
      <c r="E70" s="82"/>
      <c r="H70" s="560" t="str">
        <f ca="1">'Evolução saldo devedor'!$D$110</f>
        <v/>
      </c>
      <c r="I70" s="561"/>
      <c r="K70" s="455" t="str">
        <f ca="1">IF('Evolução saldo devedor'!$D$110&lt;&gt;"","CLIQUE AQUI PARA ATUALIZAR A TABELA 16","")</f>
        <v/>
      </c>
    </row>
    <row r="71" spans="1:12" s="38" customFormat="1" ht="15.95" customHeight="1" x14ac:dyDescent="0.25">
      <c r="B71" s="188" t="s">
        <v>524</v>
      </c>
      <c r="C71" s="82"/>
      <c r="D71" s="82"/>
      <c r="E71" s="82"/>
      <c r="H71" s="560" t="str">
        <f ca="1">'Evolução saldo devedor'!$D$237</f>
        <v/>
      </c>
      <c r="I71" s="562"/>
      <c r="K71" s="455" t="str">
        <f ca="1">IF('Evolução saldo devedor'!$D$237&lt;&gt;"","CLIQUE AQUI PARA ATUALIZAR A TABELA 17","")</f>
        <v/>
      </c>
    </row>
    <row r="72" spans="1:12" s="38" customFormat="1" ht="15.95" customHeight="1" x14ac:dyDescent="0.25">
      <c r="B72" s="188" t="s">
        <v>525</v>
      </c>
      <c r="C72" s="82"/>
      <c r="D72" s="82"/>
      <c r="E72" s="82"/>
      <c r="H72" s="560" t="str">
        <f ca="1">'Evolução saldo devedor'!$D$429</f>
        <v/>
      </c>
      <c r="I72" s="562"/>
      <c r="K72" s="455" t="str">
        <f ca="1">IF('Evolução saldo devedor'!$D$429&lt;&gt;"","CLIQUE AQUI PARA ATUALIZAR A TABELA 19","")</f>
        <v/>
      </c>
    </row>
    <row r="73" spans="1:12" s="38" customFormat="1" ht="15.95" customHeight="1" x14ac:dyDescent="0.25">
      <c r="B73" s="188" t="s">
        <v>526</v>
      </c>
      <c r="C73" s="82"/>
      <c r="D73" s="82"/>
      <c r="E73" s="82"/>
      <c r="H73" s="560" t="str">
        <f ca="1">'Evolução saldo devedor'!$D$549</f>
        <v/>
      </c>
      <c r="I73" s="562"/>
      <c r="K73" s="455" t="str">
        <f ca="1">IF('Evolução saldo devedor'!$D$549&lt;&gt;"","CLIQUE AQUI PARA ATUALIZAR A TABELA 20","")</f>
        <v/>
      </c>
    </row>
    <row r="74" spans="1:12" s="38" customFormat="1" ht="15.95" customHeight="1" x14ac:dyDescent="0.25">
      <c r="B74" s="77" t="s">
        <v>368</v>
      </c>
    </row>
    <row r="75" spans="1:12" s="38" customFormat="1" ht="15.95" customHeight="1" x14ac:dyDescent="0.25">
      <c r="B75" s="77" t="s">
        <v>869</v>
      </c>
    </row>
    <row r="76" spans="1:12" s="38" customFormat="1" ht="15.95" customHeight="1" x14ac:dyDescent="0.25">
      <c r="B76" s="188" t="s">
        <v>463</v>
      </c>
      <c r="C76" s="82"/>
      <c r="D76" s="82"/>
      <c r="E76" s="82"/>
      <c r="H76" s="554" t="str">
        <f ca="1">$C$250</f>
        <v/>
      </c>
      <c r="I76" s="555"/>
      <c r="K76" s="455" t="str">
        <f ca="1">IF($C$250&lt;&gt;"","CLIQUE AQUI PARA ATUALIZAR A TABELA 07","")</f>
        <v/>
      </c>
    </row>
    <row r="77" spans="1:12" s="38" customFormat="1" ht="15.95" customHeight="1" x14ac:dyDescent="0.25">
      <c r="B77" s="188" t="s">
        <v>464</v>
      </c>
      <c r="C77" s="82"/>
      <c r="D77" s="82"/>
      <c r="E77" s="82"/>
      <c r="H77" s="556" t="str">
        <f ca="1">$C$404</f>
        <v/>
      </c>
      <c r="I77" s="557"/>
      <c r="K77" s="455" t="str">
        <f ca="1">IF($C$404&lt;&gt;"","CLIQUE AQUI PARA ATUALIZAR A TABELA 09","")</f>
        <v/>
      </c>
    </row>
    <row r="78" spans="1:12" s="38" customFormat="1" ht="15.95" customHeight="1" x14ac:dyDescent="0.25">
      <c r="B78" s="77" t="s">
        <v>465</v>
      </c>
    </row>
    <row r="79" spans="1:12" s="38" customFormat="1" ht="15.95" customHeight="1" x14ac:dyDescent="0.25">
      <c r="B79" s="77" t="s">
        <v>466</v>
      </c>
    </row>
    <row r="80" spans="1:12" s="38" customFormat="1" ht="15.95" customHeight="1" x14ac:dyDescent="0.25">
      <c r="B80" s="77" t="s">
        <v>467</v>
      </c>
    </row>
    <row r="81" spans="1:9" s="38" customFormat="1" ht="15.95" customHeight="1" x14ac:dyDescent="0.25"/>
    <row r="82" spans="1:9" s="43" customFormat="1" ht="24.95" customHeight="1" x14ac:dyDescent="0.25">
      <c r="A82" s="378" t="s">
        <v>871</v>
      </c>
    </row>
    <row r="83" spans="1:9" s="38" customFormat="1" ht="15.95" customHeight="1" x14ac:dyDescent="0.25">
      <c r="B83" s="38" t="s">
        <v>457</v>
      </c>
    </row>
    <row r="84" spans="1:9" s="38" customFormat="1" ht="15.95" customHeight="1" x14ac:dyDescent="0.25">
      <c r="B84" s="38" t="s">
        <v>36</v>
      </c>
    </row>
    <row r="85" spans="1:9" s="38" customFormat="1" ht="15.95" customHeight="1" x14ac:dyDescent="0.25">
      <c r="B85" s="38" t="s">
        <v>317</v>
      </c>
    </row>
    <row r="86" spans="1:9" s="38" customFormat="1" ht="15.95" customHeight="1" x14ac:dyDescent="0.25">
      <c r="B86" s="38" t="s">
        <v>137</v>
      </c>
    </row>
    <row r="87" spans="1:9" s="38" customFormat="1" ht="15.95" customHeight="1" x14ac:dyDescent="0.25"/>
    <row r="88" spans="1:9" s="38" customFormat="1" ht="24.95" customHeight="1" x14ac:dyDescent="0.25">
      <c r="B88" s="390" t="s">
        <v>133</v>
      </c>
      <c r="G88" s="12"/>
      <c r="H88" s="12"/>
      <c r="I88" s="12"/>
    </row>
    <row r="89" spans="1:9" s="38" customFormat="1" ht="15.95" customHeight="1" x14ac:dyDescent="0.25">
      <c r="B89" s="105" t="s">
        <v>17</v>
      </c>
      <c r="C89" s="105" t="s">
        <v>18</v>
      </c>
      <c r="D89" s="105" t="s">
        <v>24</v>
      </c>
      <c r="E89" s="105" t="s">
        <v>299</v>
      </c>
    </row>
    <row r="90" spans="1:9" s="38" customFormat="1" ht="15.95" customHeight="1" x14ac:dyDescent="0.25">
      <c r="B90" s="125">
        <f>$E$46</f>
        <v>331.89250191718025</v>
      </c>
      <c r="C90" s="129">
        <f>$E$46*$E$33</f>
        <v>11948.130069018489</v>
      </c>
      <c r="D90" s="129">
        <f>$E$31</f>
        <v>7076.02</v>
      </c>
      <c r="E90" s="129">
        <f>C90-D90</f>
        <v>4872.1100690184885</v>
      </c>
    </row>
    <row r="91" spans="1:9" s="38" customFormat="1" ht="15.95" customHeight="1" x14ac:dyDescent="0.25">
      <c r="B91" s="211"/>
      <c r="C91" s="135"/>
      <c r="D91" s="135"/>
      <c r="E91" s="135"/>
    </row>
    <row r="92" spans="1:9" s="38" customFormat="1" ht="15.95" customHeight="1" x14ac:dyDescent="0.25">
      <c r="B92" s="38" t="s">
        <v>198</v>
      </c>
      <c r="C92" s="135"/>
      <c r="D92" s="135"/>
      <c r="E92" s="135"/>
    </row>
    <row r="93" spans="1:9" s="38" customFormat="1" ht="15.95" customHeight="1" x14ac:dyDescent="0.25">
      <c r="B93" s="38" t="s">
        <v>199</v>
      </c>
      <c r="C93" s="135"/>
      <c r="D93" s="135"/>
      <c r="E93" s="135"/>
    </row>
    <row r="94" spans="1:9" s="38" customFormat="1" ht="15.95" customHeight="1" x14ac:dyDescent="0.25">
      <c r="C94" s="212"/>
      <c r="D94" s="212"/>
      <c r="E94" s="212"/>
      <c r="F94" s="212"/>
    </row>
    <row r="95" spans="1:9" s="43" customFormat="1" ht="24.95" customHeight="1" x14ac:dyDescent="0.25">
      <c r="A95" s="378" t="s">
        <v>914</v>
      </c>
    </row>
    <row r="96" spans="1:9" s="38" customFormat="1" ht="15.95" customHeight="1" x14ac:dyDescent="0.25">
      <c r="B96" s="38" t="s">
        <v>534</v>
      </c>
    </row>
    <row r="97" spans="2:10" s="38" customFormat="1" ht="15.95" customHeight="1" x14ac:dyDescent="0.25">
      <c r="B97" s="38" t="s">
        <v>418</v>
      </c>
    </row>
    <row r="98" spans="2:10" s="38" customFormat="1" ht="15.95" customHeight="1" x14ac:dyDescent="0.25">
      <c r="B98" s="38" t="s">
        <v>419</v>
      </c>
    </row>
    <row r="99" spans="2:10" s="38" customFormat="1" ht="15.95" customHeight="1" x14ac:dyDescent="0.25">
      <c r="B99" s="38" t="s">
        <v>744</v>
      </c>
    </row>
    <row r="100" spans="2:10" s="38" customFormat="1" ht="15.95" customHeight="1" x14ac:dyDescent="0.25">
      <c r="B100" s="38" t="s">
        <v>420</v>
      </c>
    </row>
    <row r="101" spans="2:10" s="38" customFormat="1" ht="15.95" customHeight="1" x14ac:dyDescent="0.25">
      <c r="B101" s="38" t="s">
        <v>140</v>
      </c>
    </row>
    <row r="102" spans="2:10" s="38" customFormat="1" ht="15.95" customHeight="1" x14ac:dyDescent="0.25"/>
    <row r="103" spans="2:10" s="38" customFormat="1" ht="15.95" customHeight="1" x14ac:dyDescent="0.25">
      <c r="B103" s="469" t="s">
        <v>946</v>
      </c>
      <c r="C103" s="469"/>
      <c r="D103" s="468" t="s">
        <v>947</v>
      </c>
      <c r="E103" s="40"/>
    </row>
    <row r="104" spans="2:10" s="38" customFormat="1" ht="15.95" customHeight="1" x14ac:dyDescent="0.25">
      <c r="D104" s="40"/>
    </row>
    <row r="105" spans="2:10" s="38" customFormat="1" ht="15.95" customHeight="1" x14ac:dyDescent="0.25">
      <c r="B105" s="119" t="s">
        <v>583</v>
      </c>
    </row>
    <row r="106" spans="2:10" s="38" customFormat="1" ht="15.95" customHeight="1" x14ac:dyDescent="0.25">
      <c r="B106" s="213"/>
    </row>
    <row r="107" spans="2:10" ht="24.95" customHeight="1" x14ac:dyDescent="0.25">
      <c r="B107" s="390" t="s">
        <v>131</v>
      </c>
    </row>
    <row r="108" spans="2:10" s="38" customFormat="1" ht="20.100000000000001" customHeight="1" x14ac:dyDescent="0.25">
      <c r="B108" s="521" t="s">
        <v>19</v>
      </c>
      <c r="C108" s="524" t="s">
        <v>318</v>
      </c>
      <c r="D108" s="525"/>
      <c r="E108" s="525"/>
      <c r="F108" s="526"/>
      <c r="G108" s="524" t="s">
        <v>319</v>
      </c>
      <c r="H108" s="525"/>
      <c r="I108" s="525"/>
      <c r="J108" s="526"/>
    </row>
    <row r="109" spans="2:10" ht="20.100000000000001" customHeight="1" x14ac:dyDescent="0.25">
      <c r="B109" s="522"/>
      <c r="C109" s="523" t="s">
        <v>31</v>
      </c>
      <c r="D109" s="523"/>
      <c r="E109" s="523"/>
      <c r="F109" s="523"/>
      <c r="G109" s="485" t="s">
        <v>152</v>
      </c>
      <c r="H109" s="485"/>
      <c r="I109" s="485"/>
      <c r="J109" s="485"/>
    </row>
    <row r="110" spans="2:10" ht="20.100000000000001" customHeight="1" x14ac:dyDescent="0.25">
      <c r="B110" s="523"/>
      <c r="C110" s="27" t="s">
        <v>17</v>
      </c>
      <c r="D110" s="28" t="s">
        <v>20</v>
      </c>
      <c r="E110" s="27" t="s">
        <v>35</v>
      </c>
      <c r="F110" s="27" t="s">
        <v>22</v>
      </c>
      <c r="G110" s="28" t="s">
        <v>25</v>
      </c>
      <c r="H110" s="27" t="s">
        <v>22</v>
      </c>
      <c r="I110" s="28" t="s">
        <v>26</v>
      </c>
      <c r="J110" s="27" t="s">
        <v>22</v>
      </c>
    </row>
    <row r="111" spans="2:10" ht="15.95" customHeight="1" x14ac:dyDescent="0.25">
      <c r="B111" s="14">
        <v>1</v>
      </c>
      <c r="C111" s="13">
        <f t="shared" ref="C111:C146" si="0">$E$46</f>
        <v>331.89250191718025</v>
      </c>
      <c r="D111" s="13">
        <f t="shared" ref="D111:D125" si="1">C111/POWER(1+$E$32,B111)</f>
        <v>321.72596153274549</v>
      </c>
      <c r="E111" s="13">
        <f t="shared" ref="E111:E125" si="2">C111-D111</f>
        <v>10.166540384434768</v>
      </c>
      <c r="F111" s="15">
        <f t="shared" ref="F111:F125" si="3">E111/D111</f>
        <v>3.1600000000000031E-2</v>
      </c>
      <c r="G111" s="13">
        <f t="shared" ref="G111:G125" si="4">$E$32*D111*B111</f>
        <v>10.166540384434759</v>
      </c>
      <c r="H111" s="15">
        <f t="shared" ref="H111:H125" si="5">G111/D111</f>
        <v>3.1600000000000003E-2</v>
      </c>
      <c r="I111" s="13">
        <f t="shared" ref="I111:I125" si="6">E111-G111</f>
        <v>0</v>
      </c>
      <c r="J111" s="15">
        <f t="shared" ref="J111:J125" si="7">I111/D111</f>
        <v>0</v>
      </c>
    </row>
    <row r="112" spans="2:10" ht="15.95" customHeight="1" x14ac:dyDescent="0.25">
      <c r="B112" s="16">
        <f t="shared" ref="B112:B146" si="8">B111+1</f>
        <v>2</v>
      </c>
      <c r="C112" s="13">
        <f t="shared" si="0"/>
        <v>331.89250191718025</v>
      </c>
      <c r="D112" s="13">
        <f t="shared" si="1"/>
        <v>311.87084289719411</v>
      </c>
      <c r="E112" s="13">
        <f t="shared" si="2"/>
        <v>20.021659019986146</v>
      </c>
      <c r="F112" s="15">
        <f t="shared" si="3"/>
        <v>6.4198560000000182E-2</v>
      </c>
      <c r="G112" s="13">
        <f t="shared" si="4"/>
        <v>19.71023727110267</v>
      </c>
      <c r="H112" s="15">
        <f t="shared" si="5"/>
        <v>6.3200000000000006E-2</v>
      </c>
      <c r="I112" s="13">
        <f t="shared" si="6"/>
        <v>0.3114217488834754</v>
      </c>
      <c r="J112" s="15">
        <f t="shared" si="7"/>
        <v>9.9856000000017077E-4</v>
      </c>
    </row>
    <row r="113" spans="2:10" ht="15.95" customHeight="1" x14ac:dyDescent="0.25">
      <c r="B113" s="16">
        <f t="shared" si="8"/>
        <v>3</v>
      </c>
      <c r="C113" s="13">
        <f t="shared" si="0"/>
        <v>331.89250191718025</v>
      </c>
      <c r="D113" s="13">
        <f t="shared" si="1"/>
        <v>302.31760653082017</v>
      </c>
      <c r="E113" s="13">
        <f t="shared" si="2"/>
        <v>29.574895386360083</v>
      </c>
      <c r="F113" s="15">
        <f t="shared" si="3"/>
        <v>9.7827234496000254E-2</v>
      </c>
      <c r="G113" s="13">
        <f t="shared" si="4"/>
        <v>28.659709099121756</v>
      </c>
      <c r="H113" s="15">
        <f t="shared" si="5"/>
        <v>9.4800000000000009E-2</v>
      </c>
      <c r="I113" s="13">
        <f t="shared" si="6"/>
        <v>0.91518628723832762</v>
      </c>
      <c r="J113" s="15">
        <f t="shared" si="7"/>
        <v>3.0272344960002445E-3</v>
      </c>
    </row>
    <row r="114" spans="2:10" ht="15.95" customHeight="1" x14ac:dyDescent="0.25">
      <c r="B114" s="16">
        <f t="shared" si="8"/>
        <v>4</v>
      </c>
      <c r="C114" s="13">
        <f t="shared" si="0"/>
        <v>331.89250191718025</v>
      </c>
      <c r="D114" s="13">
        <f t="shared" si="1"/>
        <v>293.05700516752637</v>
      </c>
      <c r="E114" s="13">
        <f t="shared" si="2"/>
        <v>38.835496749653885</v>
      </c>
      <c r="F114" s="15">
        <f t="shared" si="3"/>
        <v>0.13251857510607373</v>
      </c>
      <c r="G114" s="13">
        <f t="shared" si="4"/>
        <v>37.042405453175334</v>
      </c>
      <c r="H114" s="15">
        <f t="shared" si="5"/>
        <v>0.12640000000000001</v>
      </c>
      <c r="I114" s="13">
        <f t="shared" si="6"/>
        <v>1.7930912964785506</v>
      </c>
      <c r="J114" s="15">
        <f t="shared" si="7"/>
        <v>6.1185751060737412E-3</v>
      </c>
    </row>
    <row r="115" spans="2:10" ht="15.95" customHeight="1" x14ac:dyDescent="0.25">
      <c r="B115" s="16">
        <f t="shared" si="8"/>
        <v>5</v>
      </c>
      <c r="C115" s="13">
        <f t="shared" si="0"/>
        <v>331.89250191718025</v>
      </c>
      <c r="D115" s="13">
        <f t="shared" si="1"/>
        <v>284.08007480372851</v>
      </c>
      <c r="E115" s="13">
        <f t="shared" si="2"/>
        <v>47.812427113451747</v>
      </c>
      <c r="F115" s="15">
        <f t="shared" si="3"/>
        <v>0.16830616207942584</v>
      </c>
      <c r="G115" s="13">
        <f t="shared" si="4"/>
        <v>44.884651818989106</v>
      </c>
      <c r="H115" s="15">
        <f t="shared" si="5"/>
        <v>0.158</v>
      </c>
      <c r="I115" s="13">
        <f t="shared" si="6"/>
        <v>2.9277752944626414</v>
      </c>
      <c r="J115" s="15">
        <f t="shared" si="7"/>
        <v>1.0306162079425835E-2</v>
      </c>
    </row>
    <row r="116" spans="2:10" ht="15.95" customHeight="1" x14ac:dyDescent="0.25">
      <c r="B116" s="16">
        <f t="shared" si="8"/>
        <v>6</v>
      </c>
      <c r="C116" s="13">
        <f t="shared" si="0"/>
        <v>331.89250191718025</v>
      </c>
      <c r="D116" s="13">
        <f t="shared" si="1"/>
        <v>275.37812602145067</v>
      </c>
      <c r="E116" s="13">
        <f t="shared" si="2"/>
        <v>56.514375895729586</v>
      </c>
      <c r="F116" s="15">
        <f t="shared" si="3"/>
        <v>0.20522463680113567</v>
      </c>
      <c r="G116" s="13">
        <f t="shared" si="4"/>
        <v>52.211692693667054</v>
      </c>
      <c r="H116" s="15">
        <f t="shared" si="5"/>
        <v>0.18960000000000002</v>
      </c>
      <c r="I116" s="13">
        <f t="shared" si="6"/>
        <v>4.3026832020625321</v>
      </c>
      <c r="J116" s="15">
        <f t="shared" si="7"/>
        <v>1.5624636801135662E-2</v>
      </c>
    </row>
    <row r="117" spans="2:10" ht="15.95" customHeight="1" x14ac:dyDescent="0.25">
      <c r="B117" s="16">
        <f t="shared" si="8"/>
        <v>7</v>
      </c>
      <c r="C117" s="13">
        <f t="shared" si="0"/>
        <v>331.89250191718025</v>
      </c>
      <c r="D117" s="13">
        <f t="shared" si="1"/>
        <v>266.94273557721073</v>
      </c>
      <c r="E117" s="13">
        <f t="shared" si="2"/>
        <v>64.949766339969528</v>
      </c>
      <c r="F117" s="15">
        <f t="shared" si="3"/>
        <v>0.24330973532405195</v>
      </c>
      <c r="G117" s="13">
        <f t="shared" si="4"/>
        <v>59.047733109679015</v>
      </c>
      <c r="H117" s="15">
        <f t="shared" si="5"/>
        <v>0.22120000000000001</v>
      </c>
      <c r="I117" s="13">
        <f t="shared" si="6"/>
        <v>5.9020332302905132</v>
      </c>
      <c r="J117" s="15">
        <f t="shared" si="7"/>
        <v>2.2109735324051943E-2</v>
      </c>
    </row>
    <row r="118" spans="2:10" ht="15.95" customHeight="1" x14ac:dyDescent="0.25">
      <c r="B118" s="16">
        <f t="shared" si="8"/>
        <v>8</v>
      </c>
      <c r="C118" s="13">
        <f t="shared" si="0"/>
        <v>331.89250191718025</v>
      </c>
      <c r="D118" s="13">
        <f t="shared" si="1"/>
        <v>258.76573824855637</v>
      </c>
      <c r="E118" s="13">
        <f t="shared" si="2"/>
        <v>73.12676366862388</v>
      </c>
      <c r="F118" s="15">
        <f t="shared" si="3"/>
        <v>0.28259832296029186</v>
      </c>
      <c r="G118" s="13">
        <f t="shared" si="4"/>
        <v>65.415978629235056</v>
      </c>
      <c r="H118" s="15">
        <f t="shared" si="5"/>
        <v>0.25280000000000002</v>
      </c>
      <c r="I118" s="13">
        <f t="shared" si="6"/>
        <v>7.7107850393888242</v>
      </c>
      <c r="J118" s="15">
        <f t="shared" si="7"/>
        <v>2.9798322960291834E-2</v>
      </c>
    </row>
    <row r="119" spans="2:10" ht="15.95" customHeight="1" x14ac:dyDescent="0.25">
      <c r="B119" s="16">
        <f t="shared" si="8"/>
        <v>9</v>
      </c>
      <c r="C119" s="13">
        <f t="shared" si="0"/>
        <v>331.89250191718025</v>
      </c>
      <c r="D119" s="13">
        <f t="shared" si="1"/>
        <v>250.83921893035711</v>
      </c>
      <c r="E119" s="13">
        <f t="shared" si="2"/>
        <v>81.053282986823149</v>
      </c>
      <c r="F119" s="15">
        <f t="shared" si="3"/>
        <v>0.32312842996583702</v>
      </c>
      <c r="G119" s="13">
        <f t="shared" si="4"/>
        <v>71.338673863793574</v>
      </c>
      <c r="H119" s="15">
        <f t="shared" si="5"/>
        <v>0.28440000000000004</v>
      </c>
      <c r="I119" s="13">
        <f t="shared" si="6"/>
        <v>9.7146091230295752</v>
      </c>
      <c r="J119" s="15">
        <f t="shared" si="7"/>
        <v>3.872842996583694E-2</v>
      </c>
    </row>
    <row r="120" spans="2:10" ht="15.95" customHeight="1" x14ac:dyDescent="0.25">
      <c r="B120" s="16">
        <f t="shared" si="8"/>
        <v>10</v>
      </c>
      <c r="C120" s="13">
        <f t="shared" si="0"/>
        <v>331.89250191718025</v>
      </c>
      <c r="D120" s="13">
        <f t="shared" si="1"/>
        <v>243.15550497320385</v>
      </c>
      <c r="E120" s="13">
        <f t="shared" si="2"/>
        <v>88.736996943976408</v>
      </c>
      <c r="F120" s="15">
        <f t="shared" si="3"/>
        <v>0.36493928835275752</v>
      </c>
      <c r="G120" s="13">
        <f t="shared" si="4"/>
        <v>76.837139571532418</v>
      </c>
      <c r="H120" s="15">
        <f t="shared" si="5"/>
        <v>0.316</v>
      </c>
      <c r="I120" s="13">
        <f t="shared" si="6"/>
        <v>11.899857372443989</v>
      </c>
      <c r="J120" s="15">
        <f t="shared" si="7"/>
        <v>4.8939288352757522E-2</v>
      </c>
    </row>
    <row r="121" spans="2:10" s="34" customFormat="1" ht="15.95" customHeight="1" x14ac:dyDescent="0.25">
      <c r="B121" s="16">
        <f t="shared" si="8"/>
        <v>11</v>
      </c>
      <c r="C121" s="13">
        <f t="shared" si="0"/>
        <v>331.89250191718025</v>
      </c>
      <c r="D121" s="13">
        <f t="shared" si="1"/>
        <v>235.70715875649844</v>
      </c>
      <c r="E121" s="13">
        <f t="shared" si="2"/>
        <v>96.185343160681811</v>
      </c>
      <c r="F121" s="15">
        <f t="shared" si="3"/>
        <v>0.40807136986470499</v>
      </c>
      <c r="G121" s="13">
        <f t="shared" si="4"/>
        <v>81.931808383758863</v>
      </c>
      <c r="H121" s="15">
        <f t="shared" si="5"/>
        <v>0.34760000000000002</v>
      </c>
      <c r="I121" s="13">
        <f t="shared" si="6"/>
        <v>14.253534776922947</v>
      </c>
      <c r="J121" s="15">
        <f t="shared" si="7"/>
        <v>6.0471369864704957E-2</v>
      </c>
    </row>
    <row r="122" spans="2:10" s="34" customFormat="1" ht="15.95" customHeight="1" x14ac:dyDescent="0.25">
      <c r="B122" s="16">
        <f t="shared" si="8"/>
        <v>12</v>
      </c>
      <c r="C122" s="13">
        <f t="shared" si="0"/>
        <v>331.89250191718025</v>
      </c>
      <c r="D122" s="13">
        <f t="shared" si="1"/>
        <v>228.48697048904467</v>
      </c>
      <c r="E122" s="13">
        <f t="shared" si="2"/>
        <v>103.40553142813559</v>
      </c>
      <c r="F122" s="15">
        <f t="shared" si="3"/>
        <v>0.45256642515242945</v>
      </c>
      <c r="G122" s="13">
        <f t="shared" si="4"/>
        <v>86.64225920944574</v>
      </c>
      <c r="H122" s="15">
        <f t="shared" si="5"/>
        <v>0.37920000000000004</v>
      </c>
      <c r="I122" s="13">
        <f t="shared" si="6"/>
        <v>16.763272218689849</v>
      </c>
      <c r="J122" s="15">
        <f t="shared" si="7"/>
        <v>7.3366425152429443E-2</v>
      </c>
    </row>
    <row r="123" spans="2:10" s="34" customFormat="1" ht="15.95" customHeight="1" x14ac:dyDescent="0.25">
      <c r="B123" s="16">
        <f t="shared" si="8"/>
        <v>13</v>
      </c>
      <c r="C123" s="13">
        <f t="shared" si="0"/>
        <v>331.89250191718025</v>
      </c>
      <c r="D123" s="13">
        <f t="shared" si="1"/>
        <v>221.48795123017123</v>
      </c>
      <c r="E123" s="13">
        <f t="shared" si="2"/>
        <v>110.40455068700902</v>
      </c>
      <c r="F123" s="15">
        <f t="shared" si="3"/>
        <v>0.49846752418724638</v>
      </c>
      <c r="G123" s="13">
        <f t="shared" si="4"/>
        <v>90.987250365354342</v>
      </c>
      <c r="H123" s="15">
        <f t="shared" si="5"/>
        <v>0.4108</v>
      </c>
      <c r="I123" s="13">
        <f t="shared" si="6"/>
        <v>19.417300321654679</v>
      </c>
      <c r="J123" s="15">
        <f t="shared" si="7"/>
        <v>8.7667524187246354E-2</v>
      </c>
    </row>
    <row r="124" spans="2:10" s="34" customFormat="1" ht="15.95" customHeight="1" x14ac:dyDescent="0.25">
      <c r="B124" s="16">
        <f t="shared" si="8"/>
        <v>14</v>
      </c>
      <c r="C124" s="13">
        <f t="shared" si="0"/>
        <v>331.89250191718025</v>
      </c>
      <c r="D124" s="13">
        <f t="shared" si="1"/>
        <v>214.70332612463284</v>
      </c>
      <c r="E124" s="13">
        <f t="shared" si="2"/>
        <v>117.18917579254742</v>
      </c>
      <c r="F124" s="15">
        <f t="shared" si="3"/>
        <v>0.54581909795156336</v>
      </c>
      <c r="G124" s="13">
        <f t="shared" si="4"/>
        <v>94.984751477537586</v>
      </c>
      <c r="H124" s="15">
        <f t="shared" si="5"/>
        <v>0.44240000000000007</v>
      </c>
      <c r="I124" s="13">
        <f t="shared" si="6"/>
        <v>22.204424315009831</v>
      </c>
      <c r="J124" s="15">
        <f t="shared" si="7"/>
        <v>0.10341909795156325</v>
      </c>
    </row>
    <row r="125" spans="2:10" s="34" customFormat="1" ht="15.95" customHeight="1" x14ac:dyDescent="0.25">
      <c r="B125" s="16">
        <f t="shared" si="8"/>
        <v>15</v>
      </c>
      <c r="C125" s="13">
        <f t="shared" si="0"/>
        <v>331.89250191718025</v>
      </c>
      <c r="D125" s="13">
        <f t="shared" si="1"/>
        <v>208.12652784473903</v>
      </c>
      <c r="E125" s="13">
        <f t="shared" si="2"/>
        <v>123.76597407244122</v>
      </c>
      <c r="F125" s="15">
        <f t="shared" si="3"/>
        <v>0.59466698144683316</v>
      </c>
      <c r="G125" s="13">
        <f t="shared" si="4"/>
        <v>98.651974198406307</v>
      </c>
      <c r="H125" s="15">
        <f t="shared" si="5"/>
        <v>0.47400000000000003</v>
      </c>
      <c r="I125" s="13">
        <f t="shared" si="6"/>
        <v>25.113999874034917</v>
      </c>
      <c r="J125" s="15">
        <f t="shared" si="7"/>
        <v>0.1206669814468331</v>
      </c>
    </row>
    <row r="126" spans="2:10" s="34" customFormat="1" ht="15.95" customHeight="1" x14ac:dyDescent="0.25">
      <c r="B126" s="16">
        <f t="shared" si="8"/>
        <v>16</v>
      </c>
      <c r="C126" s="13">
        <f t="shared" si="0"/>
        <v>331.89250191718025</v>
      </c>
      <c r="D126" s="13">
        <f t="shared" ref="D126" si="9">C126/POWER(1+$E$32,B126)</f>
        <v>201.75119023336472</v>
      </c>
      <c r="E126" s="13">
        <f t="shared" ref="E126" si="10">C126-D126</f>
        <v>130.14131168381553</v>
      </c>
      <c r="F126" s="15">
        <f t="shared" ref="F126" si="11">E126/D126</f>
        <v>0.64505845806055295</v>
      </c>
      <c r="G126" s="13">
        <f t="shared" ref="G126" si="12">$E$32*D126*B126</f>
        <v>102.00540178198922</v>
      </c>
      <c r="H126" s="15">
        <f t="shared" ref="H126" si="13">G126/D126</f>
        <v>0.50560000000000005</v>
      </c>
      <c r="I126" s="13">
        <f t="shared" ref="I126" si="14">E126-G126</f>
        <v>28.135909901826309</v>
      </c>
      <c r="J126" s="15">
        <f t="shared" ref="J126" si="15">I126/D126</f>
        <v>0.13945845806055282</v>
      </c>
    </row>
    <row r="127" spans="2:10" s="34" customFormat="1" ht="15.95" customHeight="1" x14ac:dyDescent="0.25">
      <c r="B127" s="16">
        <f t="shared" si="8"/>
        <v>17</v>
      </c>
      <c r="C127" s="13">
        <f t="shared" si="0"/>
        <v>331.89250191718025</v>
      </c>
      <c r="D127" s="13">
        <f t="shared" ref="D127:D146" si="16">C127/POWER(1+$E$32,B127)</f>
        <v>195.57114214168737</v>
      </c>
      <c r="E127" s="13">
        <f t="shared" ref="E127:E146" si="17">C127-D127</f>
        <v>136.32135977549288</v>
      </c>
      <c r="F127" s="15">
        <f t="shared" ref="F127:F146" si="18">E127/D127</f>
        <v>0.69704230533526657</v>
      </c>
      <c r="G127" s="13">
        <f t="shared" ref="G127:G146" si="19">$E$32*D127*B127</f>
        <v>105.06081755851447</v>
      </c>
      <c r="H127" s="15">
        <f t="shared" ref="H127:H146" si="20">G127/D127</f>
        <v>0.53720000000000012</v>
      </c>
      <c r="I127" s="13">
        <f t="shared" ref="I127:I146" si="21">E127-G127</f>
        <v>31.260542216978408</v>
      </c>
      <c r="J127" s="15">
        <f t="shared" ref="J127:J146" si="22">I127/D127</f>
        <v>0.15984230533526655</v>
      </c>
    </row>
    <row r="128" spans="2:10" s="34" customFormat="1" ht="15.95" customHeight="1" x14ac:dyDescent="0.25">
      <c r="B128" s="16">
        <f t="shared" si="8"/>
        <v>18</v>
      </c>
      <c r="C128" s="13">
        <f t="shared" si="0"/>
        <v>331.89250191718025</v>
      </c>
      <c r="D128" s="13">
        <f t="shared" si="16"/>
        <v>189.58040145568765</v>
      </c>
      <c r="E128" s="13">
        <f t="shared" si="17"/>
        <v>142.31210046149261</v>
      </c>
      <c r="F128" s="15">
        <f t="shared" si="18"/>
        <v>0.75066884218386098</v>
      </c>
      <c r="G128" s="13">
        <f t="shared" si="19"/>
        <v>107.83333234799515</v>
      </c>
      <c r="H128" s="15">
        <f t="shared" si="20"/>
        <v>0.56880000000000008</v>
      </c>
      <c r="I128" s="13">
        <f t="shared" si="21"/>
        <v>34.478768113497452</v>
      </c>
      <c r="J128" s="15">
        <f t="shared" si="22"/>
        <v>0.1818688421838609</v>
      </c>
    </row>
    <row r="129" spans="2:10" s="34" customFormat="1" ht="15.95" customHeight="1" x14ac:dyDescent="0.25">
      <c r="B129" s="16">
        <f t="shared" si="8"/>
        <v>19</v>
      </c>
      <c r="C129" s="13">
        <f t="shared" si="0"/>
        <v>331.89250191718025</v>
      </c>
      <c r="D129" s="13">
        <f t="shared" si="16"/>
        <v>183.77316930562972</v>
      </c>
      <c r="E129" s="13">
        <f t="shared" si="17"/>
        <v>148.11933261155053</v>
      </c>
      <c r="F129" s="15">
        <f t="shared" si="18"/>
        <v>0.8059899775968713</v>
      </c>
      <c r="G129" s="13">
        <f t="shared" si="19"/>
        <v>110.33741085110009</v>
      </c>
      <c r="H129" s="15">
        <f t="shared" si="20"/>
        <v>0.60040000000000004</v>
      </c>
      <c r="I129" s="13">
        <f t="shared" si="21"/>
        <v>37.781921760450444</v>
      </c>
      <c r="J129" s="15">
        <f t="shared" si="22"/>
        <v>0.20558997759687125</v>
      </c>
    </row>
    <row r="130" spans="2:10" s="34" customFormat="1" ht="15.95" customHeight="1" x14ac:dyDescent="0.25">
      <c r="B130" s="16">
        <f t="shared" si="8"/>
        <v>20</v>
      </c>
      <c r="C130" s="13">
        <f t="shared" si="0"/>
        <v>331.89250191718025</v>
      </c>
      <c r="D130" s="13">
        <f t="shared" si="16"/>
        <v>178.14382445291756</v>
      </c>
      <c r="E130" s="13">
        <f t="shared" si="17"/>
        <v>153.7486774642627</v>
      </c>
      <c r="F130" s="15">
        <f t="shared" si="18"/>
        <v>0.86305926088893214</v>
      </c>
      <c r="G130" s="13">
        <f t="shared" si="19"/>
        <v>112.58689705424391</v>
      </c>
      <c r="H130" s="15">
        <f t="shared" si="20"/>
        <v>0.63200000000000001</v>
      </c>
      <c r="I130" s="13">
        <f t="shared" si="21"/>
        <v>41.161780410018793</v>
      </c>
      <c r="J130" s="15">
        <f t="shared" si="22"/>
        <v>0.23105926088893206</v>
      </c>
    </row>
    <row r="131" spans="2:10" s="34" customFormat="1" ht="15.95" customHeight="1" x14ac:dyDescent="0.25">
      <c r="B131" s="16">
        <f t="shared" si="8"/>
        <v>21</v>
      </c>
      <c r="C131" s="13">
        <f t="shared" si="0"/>
        <v>331.89250191718025</v>
      </c>
      <c r="D131" s="13">
        <f t="shared" si="16"/>
        <v>172.68691784889253</v>
      </c>
      <c r="E131" s="13">
        <f t="shared" si="17"/>
        <v>159.20558406828772</v>
      </c>
      <c r="F131" s="15">
        <f t="shared" si="18"/>
        <v>0.92193193353302261</v>
      </c>
      <c r="G131" s="13">
        <f t="shared" si="19"/>
        <v>114.59503868452509</v>
      </c>
      <c r="H131" s="15">
        <f t="shared" si="20"/>
        <v>0.66360000000000008</v>
      </c>
      <c r="I131" s="13">
        <f t="shared" si="21"/>
        <v>44.610545383762627</v>
      </c>
      <c r="J131" s="15">
        <f t="shared" si="22"/>
        <v>0.25833193353302253</v>
      </c>
    </row>
    <row r="132" spans="2:10" s="34" customFormat="1" ht="15.95" customHeight="1" x14ac:dyDescent="0.25">
      <c r="B132" s="16">
        <f t="shared" si="8"/>
        <v>22</v>
      </c>
      <c r="C132" s="13">
        <f t="shared" si="0"/>
        <v>331.89250191718025</v>
      </c>
      <c r="D132" s="13">
        <f t="shared" si="16"/>
        <v>167.39716736030684</v>
      </c>
      <c r="E132" s="13">
        <f t="shared" si="17"/>
        <v>164.49533455687342</v>
      </c>
      <c r="F132" s="15">
        <f t="shared" si="18"/>
        <v>0.98266498263266611</v>
      </c>
      <c r="G132" s="13">
        <f t="shared" si="19"/>
        <v>116.37451074888533</v>
      </c>
      <c r="H132" s="15">
        <f t="shared" si="20"/>
        <v>0.69520000000000004</v>
      </c>
      <c r="I132" s="13">
        <f t="shared" si="21"/>
        <v>48.120823807988089</v>
      </c>
      <c r="J132" s="15">
        <f t="shared" si="22"/>
        <v>0.28746498263266601</v>
      </c>
    </row>
    <row r="133" spans="2:10" s="34" customFormat="1" ht="15.95" customHeight="1" x14ac:dyDescent="0.25">
      <c r="B133" s="16">
        <f t="shared" si="8"/>
        <v>23</v>
      </c>
      <c r="C133" s="13">
        <f t="shared" si="0"/>
        <v>331.89250191718025</v>
      </c>
      <c r="D133" s="13">
        <f t="shared" si="16"/>
        <v>162.26945265636564</v>
      </c>
      <c r="E133" s="13">
        <f t="shared" si="17"/>
        <v>169.62304926081461</v>
      </c>
      <c r="F133" s="15">
        <f t="shared" si="18"/>
        <v>1.0453171960838588</v>
      </c>
      <c r="G133" s="13">
        <f t="shared" si="19"/>
        <v>117.93743819064657</v>
      </c>
      <c r="H133" s="15">
        <f t="shared" si="20"/>
        <v>0.72680000000000011</v>
      </c>
      <c r="I133" s="13">
        <f t="shared" si="21"/>
        <v>51.685611070168036</v>
      </c>
      <c r="J133" s="15">
        <f t="shared" si="22"/>
        <v>0.31851719608385864</v>
      </c>
    </row>
    <row r="134" spans="2:10" s="34" customFormat="1" ht="15.95" customHeight="1" x14ac:dyDescent="0.25">
      <c r="B134" s="16">
        <f t="shared" si="8"/>
        <v>24</v>
      </c>
      <c r="C134" s="13">
        <f t="shared" si="0"/>
        <v>331.89250191718025</v>
      </c>
      <c r="D134" s="13">
        <f t="shared" si="16"/>
        <v>157.29881025239013</v>
      </c>
      <c r="E134" s="13">
        <f t="shared" si="17"/>
        <v>174.59369166479013</v>
      </c>
      <c r="F134" s="15">
        <f t="shared" si="18"/>
        <v>1.1099492194801086</v>
      </c>
      <c r="G134" s="13">
        <f t="shared" si="19"/>
        <v>119.29541769541268</v>
      </c>
      <c r="H134" s="15">
        <f t="shared" si="20"/>
        <v>0.75840000000000007</v>
      </c>
      <c r="I134" s="13">
        <f t="shared" si="21"/>
        <v>55.298273969377448</v>
      </c>
      <c r="J134" s="15">
        <f t="shared" si="22"/>
        <v>0.35154921948010859</v>
      </c>
    </row>
    <row r="135" spans="2:10" s="34" customFormat="1" ht="15.95" customHeight="1" x14ac:dyDescent="0.25">
      <c r="B135" s="16">
        <f t="shared" si="8"/>
        <v>25</v>
      </c>
      <c r="C135" s="13">
        <f t="shared" si="0"/>
        <v>331.89250191718025</v>
      </c>
      <c r="D135" s="13">
        <f t="shared" si="16"/>
        <v>152.48042870530256</v>
      </c>
      <c r="E135" s="13">
        <f t="shared" si="17"/>
        <v>179.4120732118777</v>
      </c>
      <c r="F135" s="15">
        <f t="shared" si="18"/>
        <v>1.1766236148156801</v>
      </c>
      <c r="G135" s="13">
        <f t="shared" si="19"/>
        <v>120.45953867718904</v>
      </c>
      <c r="H135" s="15">
        <f t="shared" si="20"/>
        <v>0.79000000000000015</v>
      </c>
      <c r="I135" s="13">
        <f t="shared" si="21"/>
        <v>58.952534534688652</v>
      </c>
      <c r="J135" s="15">
        <f t="shared" si="22"/>
        <v>0.38662361481568003</v>
      </c>
    </row>
    <row r="136" spans="2:10" s="34" customFormat="1" ht="15.95" customHeight="1" x14ac:dyDescent="0.25">
      <c r="B136" s="16">
        <f t="shared" si="8"/>
        <v>26</v>
      </c>
      <c r="C136" s="13">
        <f t="shared" si="0"/>
        <v>331.89250191718025</v>
      </c>
      <c r="D136" s="13">
        <f t="shared" si="16"/>
        <v>147.80964395628396</v>
      </c>
      <c r="E136" s="13">
        <f t="shared" si="17"/>
        <v>184.08285796089629</v>
      </c>
      <c r="F136" s="15">
        <f t="shared" si="18"/>
        <v>1.245404921043856</v>
      </c>
      <c r="G136" s="13">
        <f t="shared" si="19"/>
        <v>121.44040347448292</v>
      </c>
      <c r="H136" s="15">
        <f t="shared" si="20"/>
        <v>0.82160000000000011</v>
      </c>
      <c r="I136" s="13">
        <f t="shared" si="21"/>
        <v>62.642454486413371</v>
      </c>
      <c r="J136" s="15">
        <f t="shared" si="22"/>
        <v>0.42380492104385586</v>
      </c>
    </row>
    <row r="137" spans="2:10" s="34" customFormat="1" ht="15.95" customHeight="1" x14ac:dyDescent="0.25">
      <c r="B137" s="16">
        <f t="shared" si="8"/>
        <v>27</v>
      </c>
      <c r="C137" s="13">
        <f t="shared" si="0"/>
        <v>331.89250191718025</v>
      </c>
      <c r="D137" s="13">
        <f t="shared" si="16"/>
        <v>143.28193481609534</v>
      </c>
      <c r="E137" s="13">
        <f t="shared" si="17"/>
        <v>188.61056710108491</v>
      </c>
      <c r="F137" s="15">
        <f t="shared" si="18"/>
        <v>1.3163597165488419</v>
      </c>
      <c r="G137" s="13">
        <f t="shared" si="19"/>
        <v>122.24814678509256</v>
      </c>
      <c r="H137" s="15">
        <f t="shared" si="20"/>
        <v>0.85320000000000007</v>
      </c>
      <c r="I137" s="13">
        <f t="shared" si="21"/>
        <v>66.362420315992352</v>
      </c>
      <c r="J137" s="15">
        <f t="shared" si="22"/>
        <v>0.46315971654884186</v>
      </c>
    </row>
    <row r="138" spans="2:10" s="34" customFormat="1" ht="15.95" customHeight="1" x14ac:dyDescent="0.25">
      <c r="B138" s="16">
        <f t="shared" si="8"/>
        <v>28</v>
      </c>
      <c r="C138" s="13">
        <f t="shared" si="0"/>
        <v>331.89250191718025</v>
      </c>
      <c r="D138" s="13">
        <f t="shared" si="16"/>
        <v>138.89291858869265</v>
      </c>
      <c r="E138" s="13">
        <f t="shared" si="17"/>
        <v>192.9995833284876</v>
      </c>
      <c r="F138" s="15">
        <f t="shared" si="18"/>
        <v>1.3895566835917854</v>
      </c>
      <c r="G138" s="13">
        <f t="shared" si="19"/>
        <v>122.89245436727528</v>
      </c>
      <c r="H138" s="15">
        <f t="shared" si="20"/>
        <v>0.88480000000000014</v>
      </c>
      <c r="I138" s="13">
        <f t="shared" si="21"/>
        <v>70.107128961212325</v>
      </c>
      <c r="J138" s="15">
        <f t="shared" si="22"/>
        <v>0.50475668359178527</v>
      </c>
    </row>
    <row r="139" spans="2:10" s="34" customFormat="1" ht="15.95" customHeight="1" x14ac:dyDescent="0.25">
      <c r="B139" s="16">
        <f t="shared" si="8"/>
        <v>29</v>
      </c>
      <c r="C139" s="13">
        <f t="shared" si="0"/>
        <v>331.89250191718025</v>
      </c>
      <c r="D139" s="13">
        <f t="shared" si="16"/>
        <v>134.63834682889942</v>
      </c>
      <c r="E139" s="13">
        <f t="shared" si="17"/>
        <v>197.25415508828084</v>
      </c>
      <c r="F139" s="15">
        <f t="shared" si="18"/>
        <v>1.4650666747932861</v>
      </c>
      <c r="G139" s="13">
        <f t="shared" si="19"/>
        <v>123.38258103400342</v>
      </c>
      <c r="H139" s="15">
        <f t="shared" si="20"/>
        <v>0.91639999999999999</v>
      </c>
      <c r="I139" s="13">
        <f t="shared" si="21"/>
        <v>73.871574054277417</v>
      </c>
      <c r="J139" s="15">
        <f t="shared" si="22"/>
        <v>0.54866667479328612</v>
      </c>
    </row>
    <row r="140" spans="2:10" s="34" customFormat="1" ht="15.95" customHeight="1" x14ac:dyDescent="0.25">
      <c r="B140" s="16">
        <f t="shared" si="8"/>
        <v>30</v>
      </c>
      <c r="C140" s="13">
        <f t="shared" si="0"/>
        <v>331.89250191718025</v>
      </c>
      <c r="D140" s="13">
        <f t="shared" si="16"/>
        <v>130.51410123003046</v>
      </c>
      <c r="E140" s="13">
        <f t="shared" si="17"/>
        <v>201.37840068714979</v>
      </c>
      <c r="F140" s="15">
        <f t="shared" si="18"/>
        <v>1.5429627817167537</v>
      </c>
      <c r="G140" s="13">
        <f t="shared" si="19"/>
        <v>123.72736796606888</v>
      </c>
      <c r="H140" s="15">
        <f t="shared" si="20"/>
        <v>0.94800000000000006</v>
      </c>
      <c r="I140" s="13">
        <f t="shared" si="21"/>
        <v>77.651032721080909</v>
      </c>
      <c r="J140" s="15">
        <f t="shared" si="22"/>
        <v>0.59496278171675365</v>
      </c>
    </row>
    <row r="141" spans="2:10" s="34" customFormat="1" ht="15.95" customHeight="1" x14ac:dyDescent="0.25">
      <c r="B141" s="16">
        <f t="shared" si="8"/>
        <v>31</v>
      </c>
      <c r="C141" s="13">
        <f t="shared" si="0"/>
        <v>331.89250191718025</v>
      </c>
      <c r="D141" s="13">
        <f t="shared" si="16"/>
        <v>126.51618963748589</v>
      </c>
      <c r="E141" s="13">
        <f t="shared" si="17"/>
        <v>205.37631227969436</v>
      </c>
      <c r="F141" s="15">
        <f t="shared" si="18"/>
        <v>1.6233204056190034</v>
      </c>
      <c r="G141" s="13">
        <f t="shared" si="19"/>
        <v>123.93525936888119</v>
      </c>
      <c r="H141" s="15">
        <f t="shared" si="20"/>
        <v>0.97960000000000003</v>
      </c>
      <c r="I141" s="13">
        <f t="shared" si="21"/>
        <v>81.44105291081317</v>
      </c>
      <c r="J141" s="15">
        <f t="shared" si="22"/>
        <v>0.64372040561900334</v>
      </c>
    </row>
    <row r="142" spans="2:10" s="34" customFormat="1" ht="15.95" customHeight="1" x14ac:dyDescent="0.25">
      <c r="B142" s="16">
        <f t="shared" si="8"/>
        <v>32</v>
      </c>
      <c r="C142" s="13">
        <f t="shared" si="0"/>
        <v>331.89250191718025</v>
      </c>
      <c r="D142" s="13">
        <f t="shared" si="16"/>
        <v>122.64074218445705</v>
      </c>
      <c r="E142" s="13">
        <f t="shared" si="17"/>
        <v>209.2517597327232</v>
      </c>
      <c r="F142" s="15">
        <f t="shared" si="18"/>
        <v>1.706217330436564</v>
      </c>
      <c r="G142" s="13">
        <f t="shared" si="19"/>
        <v>124.01431849692298</v>
      </c>
      <c r="H142" s="15">
        <f t="shared" si="20"/>
        <v>1.0112000000000001</v>
      </c>
      <c r="I142" s="13">
        <f t="shared" si="21"/>
        <v>85.237441235800219</v>
      </c>
      <c r="J142" s="15">
        <f t="shared" si="22"/>
        <v>0.69501733043656377</v>
      </c>
    </row>
    <row r="143" spans="2:10" s="34" customFormat="1" ht="15.95" customHeight="1" x14ac:dyDescent="0.25">
      <c r="B143" s="16">
        <f t="shared" si="8"/>
        <v>33</v>
      </c>
      <c r="C143" s="13">
        <f t="shared" si="0"/>
        <v>331.89250191718025</v>
      </c>
      <c r="D143" s="13">
        <f t="shared" si="16"/>
        <v>118.88400754600333</v>
      </c>
      <c r="E143" s="13">
        <f t="shared" si="17"/>
        <v>213.00849437117694</v>
      </c>
      <c r="F143" s="15">
        <f t="shared" si="18"/>
        <v>1.7917337980783599</v>
      </c>
      <c r="G143" s="13">
        <f t="shared" si="19"/>
        <v>123.97224306897229</v>
      </c>
      <c r="H143" s="15">
        <f t="shared" si="20"/>
        <v>1.0428000000000002</v>
      </c>
      <c r="I143" s="13">
        <f t="shared" si="21"/>
        <v>89.036251302204647</v>
      </c>
      <c r="J143" s="15">
        <f t="shared" si="22"/>
        <v>0.74893379807835969</v>
      </c>
    </row>
    <row r="144" spans="2:10" s="34" customFormat="1" ht="15.95" customHeight="1" x14ac:dyDescent="0.25">
      <c r="B144" s="16">
        <f t="shared" si="8"/>
        <v>34</v>
      </c>
      <c r="C144" s="13">
        <f t="shared" si="0"/>
        <v>331.89250191718025</v>
      </c>
      <c r="D144" s="13">
        <f t="shared" si="16"/>
        <v>115.24234930787449</v>
      </c>
      <c r="E144" s="13">
        <f t="shared" si="17"/>
        <v>216.65015260930576</v>
      </c>
      <c r="F144" s="15">
        <f t="shared" si="18"/>
        <v>1.879952586097636</v>
      </c>
      <c r="G144" s="13">
        <f t="shared" si="19"/>
        <v>123.81638009638037</v>
      </c>
      <c r="H144" s="15">
        <f t="shared" si="20"/>
        <v>1.0744000000000002</v>
      </c>
      <c r="I144" s="13">
        <f t="shared" si="21"/>
        <v>92.833772512925393</v>
      </c>
      <c r="J144" s="15">
        <f t="shared" si="22"/>
        <v>0.80555258609763591</v>
      </c>
    </row>
    <row r="145" spans="1:11" s="34" customFormat="1" ht="15.95" customHeight="1" x14ac:dyDescent="0.25">
      <c r="B145" s="16">
        <f t="shared" si="8"/>
        <v>35</v>
      </c>
      <c r="C145" s="13">
        <f t="shared" si="0"/>
        <v>331.89250191718025</v>
      </c>
      <c r="D145" s="13">
        <f t="shared" si="16"/>
        <v>111.71224244656308</v>
      </c>
      <c r="E145" s="13">
        <f t="shared" si="17"/>
        <v>220.18025947061716</v>
      </c>
      <c r="F145" s="15">
        <f t="shared" si="18"/>
        <v>1.9709590878183216</v>
      </c>
      <c r="G145" s="13">
        <f t="shared" si="19"/>
        <v>123.55374014589879</v>
      </c>
      <c r="H145" s="15">
        <f t="shared" si="20"/>
        <v>1.1060000000000001</v>
      </c>
      <c r="I145" s="13">
        <f t="shared" si="21"/>
        <v>96.626519324718373</v>
      </c>
      <c r="J145" s="15">
        <f t="shared" si="22"/>
        <v>0.86495908781832143</v>
      </c>
    </row>
    <row r="146" spans="1:11" s="34" customFormat="1" ht="15.95" customHeight="1" x14ac:dyDescent="0.25">
      <c r="B146" s="31">
        <f t="shared" si="8"/>
        <v>36</v>
      </c>
      <c r="C146" s="32">
        <f t="shared" si="0"/>
        <v>331.89250191718025</v>
      </c>
      <c r="D146" s="32">
        <f t="shared" si="16"/>
        <v>108.29026991718021</v>
      </c>
      <c r="E146" s="32">
        <f t="shared" si="17"/>
        <v>223.60223200000004</v>
      </c>
      <c r="F146" s="33">
        <f t="shared" si="18"/>
        <v>2.0648413949933802</v>
      </c>
      <c r="G146" s="32">
        <f t="shared" si="19"/>
        <v>123.19101105778422</v>
      </c>
      <c r="H146" s="33">
        <f t="shared" si="20"/>
        <v>1.1376000000000002</v>
      </c>
      <c r="I146" s="32">
        <f t="shared" si="21"/>
        <v>100.41122094221582</v>
      </c>
      <c r="J146" s="33">
        <f t="shared" si="22"/>
        <v>0.92724139499337987</v>
      </c>
    </row>
    <row r="147" spans="1:11" s="34" customFormat="1" ht="15.95" customHeight="1" x14ac:dyDescent="0.25">
      <c r="B147" s="35" t="s">
        <v>23</v>
      </c>
      <c r="C147" s="36">
        <f ca="1">SUM(C111:INDIRECT(ADDRESS(ROW($C$147)-1,3)))</f>
        <v>11948.130069018489</v>
      </c>
      <c r="D147" s="36">
        <f ca="1">SUM(D111:INDIRECT(ADDRESS(ROW($D$147)-1,4)))</f>
        <v>7076.0199999999886</v>
      </c>
      <c r="E147" s="36">
        <f ca="1">SUM(E111:INDIRECT(ADDRESS(ROW($E$147)-1,5)))</f>
        <v>4872.1100690184994</v>
      </c>
      <c r="F147" s="37"/>
      <c r="G147" s="36">
        <f ca="1">SUM(G111:INDIRECT(ADDRESS(ROW($G$147)-1,7)))</f>
        <v>3401.1725149814979</v>
      </c>
      <c r="H147" s="37"/>
      <c r="I147" s="36">
        <f ca="1">SUM(I111:INDIRECT(ADDRESS(ROW($I$147)-1,9)))</f>
        <v>1470.9375540370008</v>
      </c>
      <c r="J147" s="37"/>
    </row>
    <row r="148" spans="1:11" s="38" customFormat="1" ht="15.95" customHeight="1" thickBot="1" x14ac:dyDescent="0.3">
      <c r="C148" s="575" t="str">
        <f ca="1">IF(OR(($C$147-$C$157)&gt;0.01,($C$147-$C$157)&lt;-0.01,($D$147-$D$157)&gt;0.01,($D$147-$D$157)&lt;-0.01,($E$147-$E$157)&gt;0.01,($E$147-$E$157)&lt;-0.01,($G$147+$I$147-$E$157)&gt;0.01,($G$147+$I$157-$E$157)&lt;-0.01),"FALTA ATUALIZAR A TABELA 06","")</f>
        <v/>
      </c>
      <c r="D148" s="576"/>
      <c r="E148" s="576"/>
      <c r="F148" s="576"/>
      <c r="G148" s="576"/>
      <c r="H148" s="576"/>
      <c r="I148" s="577"/>
    </row>
    <row r="149" spans="1:11" s="38" customFormat="1" ht="24.95" customHeight="1" x14ac:dyDescent="0.25">
      <c r="B149" s="214"/>
      <c r="C149" s="215" t="s">
        <v>138</v>
      </c>
      <c r="D149" s="216"/>
      <c r="E149" s="216"/>
      <c r="F149" s="217"/>
      <c r="G149" s="218"/>
      <c r="H149" s="217"/>
      <c r="I149" s="218"/>
      <c r="J149" s="217"/>
      <c r="K149" s="191"/>
    </row>
    <row r="150" spans="1:11" s="38" customFormat="1" ht="15.95" customHeight="1" x14ac:dyDescent="0.25">
      <c r="B150" s="214"/>
      <c r="C150" s="219" t="s">
        <v>194</v>
      </c>
      <c r="D150" s="220"/>
      <c r="E150" s="220"/>
      <c r="F150" s="221"/>
      <c r="G150" s="131"/>
      <c r="H150" s="221"/>
      <c r="I150" s="131"/>
      <c r="J150" s="221"/>
      <c r="K150" s="59"/>
    </row>
    <row r="151" spans="1:11" s="38" customFormat="1" ht="15.95" customHeight="1" x14ac:dyDescent="0.25">
      <c r="C151" s="192" t="s">
        <v>327</v>
      </c>
      <c r="D151" s="222"/>
      <c r="E151" s="222"/>
      <c r="F151" s="40"/>
      <c r="G151" s="40"/>
      <c r="H151" s="40"/>
      <c r="I151" s="40"/>
      <c r="J151" s="40"/>
      <c r="K151" s="59"/>
    </row>
    <row r="152" spans="1:11" s="38" customFormat="1" ht="15.95" customHeight="1" x14ac:dyDescent="0.25">
      <c r="C152" s="192" t="s">
        <v>328</v>
      </c>
      <c r="D152" s="222"/>
      <c r="E152" s="222"/>
      <c r="F152" s="40"/>
      <c r="G152" s="40"/>
      <c r="H152" s="40"/>
      <c r="I152" s="40"/>
      <c r="J152" s="40"/>
      <c r="K152" s="59"/>
    </row>
    <row r="153" spans="1:11" s="38" customFormat="1" ht="15.95" customHeight="1" x14ac:dyDescent="0.25">
      <c r="B153" s="25"/>
      <c r="C153" s="60" t="s">
        <v>329</v>
      </c>
      <c r="D153" s="223"/>
      <c r="E153" s="223"/>
      <c r="F153" s="25"/>
      <c r="G153" s="25"/>
      <c r="H153" s="40"/>
      <c r="I153" s="40"/>
      <c r="J153" s="40"/>
      <c r="K153" s="59"/>
    </row>
    <row r="154" spans="1:11" s="38" customFormat="1" ht="15.95" customHeight="1" x14ac:dyDescent="0.25">
      <c r="B154" s="25"/>
      <c r="C154" s="58"/>
      <c r="D154" s="25"/>
      <c r="E154" s="25"/>
      <c r="F154" s="25"/>
      <c r="G154" s="25"/>
      <c r="H154" s="40"/>
      <c r="I154" s="40"/>
      <c r="J154" s="40"/>
      <c r="K154" s="59"/>
    </row>
    <row r="155" spans="1:11" s="38" customFormat="1" ht="24.95" customHeight="1" x14ac:dyDescent="0.25">
      <c r="C155" s="392" t="s">
        <v>133</v>
      </c>
      <c r="D155" s="61"/>
      <c r="E155" s="61"/>
      <c r="F155" s="61"/>
      <c r="G155" s="61"/>
      <c r="H155" s="40"/>
      <c r="I155" s="40"/>
      <c r="J155" s="40"/>
      <c r="K155" s="59"/>
    </row>
    <row r="156" spans="1:11" s="38" customFormat="1" ht="20.100000000000001" customHeight="1" x14ac:dyDescent="0.25">
      <c r="C156" s="224" t="s">
        <v>18</v>
      </c>
      <c r="D156" s="225" t="s">
        <v>24</v>
      </c>
      <c r="E156" s="225" t="s">
        <v>38</v>
      </c>
      <c r="F156" s="61"/>
      <c r="G156" s="62" t="s">
        <v>25</v>
      </c>
      <c r="H156" s="40"/>
      <c r="I156" s="62" t="s">
        <v>26</v>
      </c>
      <c r="J156" s="40"/>
      <c r="K156" s="226" t="s">
        <v>38</v>
      </c>
    </row>
    <row r="157" spans="1:11" s="38" customFormat="1" ht="15.95" customHeight="1" thickBot="1" x14ac:dyDescent="0.3">
      <c r="C157" s="227">
        <f>$C$90</f>
        <v>11948.130069018489</v>
      </c>
      <c r="D157" s="228">
        <f>$D$90</f>
        <v>7076.02</v>
      </c>
      <c r="E157" s="228">
        <f>$E$90</f>
        <v>4872.1100690184885</v>
      </c>
      <c r="F157" s="229"/>
      <c r="G157" s="228">
        <f ca="1">G147</f>
        <v>3401.1725149814979</v>
      </c>
      <c r="H157" s="196"/>
      <c r="I157" s="228">
        <f ca="1">I147</f>
        <v>1470.9375540370008</v>
      </c>
      <c r="J157" s="196"/>
      <c r="K157" s="230">
        <f ca="1">G157+I157</f>
        <v>4872.1100690184985</v>
      </c>
    </row>
    <row r="158" spans="1:11" s="38" customFormat="1" ht="15.95" customHeight="1" x14ac:dyDescent="0.25">
      <c r="C158" s="416"/>
      <c r="D158" s="416"/>
      <c r="E158" s="416"/>
      <c r="F158" s="61"/>
      <c r="G158" s="416"/>
      <c r="H158" s="40"/>
      <c r="I158" s="416"/>
      <c r="J158" s="40"/>
      <c r="K158" s="416"/>
    </row>
    <row r="159" spans="1:11" s="43" customFormat="1" ht="24.95" customHeight="1" x14ac:dyDescent="0.25">
      <c r="A159" s="378" t="s">
        <v>873</v>
      </c>
    </row>
    <row r="160" spans="1:11" s="38" customFormat="1" ht="15.95" customHeight="1" x14ac:dyDescent="0.25">
      <c r="B160" s="38" t="s">
        <v>800</v>
      </c>
    </row>
    <row r="161" spans="2:11" s="38" customFormat="1" ht="15.95" customHeight="1" x14ac:dyDescent="0.25">
      <c r="B161" s="38" t="s">
        <v>801</v>
      </c>
    </row>
    <row r="162" spans="2:11" s="38" customFormat="1" ht="15.95" customHeight="1" x14ac:dyDescent="0.25">
      <c r="B162" s="38" t="s">
        <v>802</v>
      </c>
      <c r="C162" s="416"/>
      <c r="D162" s="416"/>
      <c r="E162" s="416"/>
      <c r="F162" s="61"/>
      <c r="G162" s="416"/>
      <c r="H162" s="40"/>
      <c r="I162" s="416"/>
      <c r="J162" s="40"/>
      <c r="K162" s="416"/>
    </row>
    <row r="163" spans="2:11" s="38" customFormat="1" ht="15.95" customHeight="1" x14ac:dyDescent="0.25">
      <c r="B163" s="38" t="s">
        <v>803</v>
      </c>
      <c r="C163" s="416"/>
      <c r="D163" s="416"/>
      <c r="E163" s="416"/>
      <c r="F163" s="61"/>
      <c r="G163" s="416"/>
      <c r="H163" s="40"/>
      <c r="I163" s="416"/>
      <c r="J163" s="40"/>
      <c r="K163" s="416"/>
    </row>
    <row r="164" spans="2:11" s="38" customFormat="1" ht="15.95" customHeight="1" x14ac:dyDescent="0.25">
      <c r="C164" s="416"/>
      <c r="D164" s="416"/>
      <c r="E164" s="416"/>
      <c r="F164" s="61"/>
      <c r="G164" s="416"/>
      <c r="H164" s="40"/>
      <c r="I164" s="416"/>
      <c r="J164" s="40"/>
      <c r="K164" s="416"/>
    </row>
    <row r="165" spans="2:11" s="38" customFormat="1" ht="15.95" customHeight="1" x14ac:dyDescent="0.25">
      <c r="B165" s="38" t="s">
        <v>804</v>
      </c>
      <c r="C165" s="416"/>
      <c r="D165" s="416"/>
      <c r="E165" s="416"/>
      <c r="F165" s="61"/>
      <c r="G165" s="416"/>
      <c r="H165" s="40"/>
      <c r="I165" s="416"/>
      <c r="J165" s="40"/>
      <c r="K165" s="416"/>
    </row>
    <row r="166" spans="2:11" s="38" customFormat="1" ht="15.95" customHeight="1" x14ac:dyDescent="0.25">
      <c r="B166" s="38" t="s">
        <v>810</v>
      </c>
      <c r="C166" s="416"/>
      <c r="D166" s="416"/>
      <c r="E166" s="416"/>
      <c r="F166" s="61"/>
      <c r="G166" s="416"/>
      <c r="H166" s="40"/>
      <c r="I166" s="416"/>
      <c r="J166" s="40"/>
      <c r="K166" s="416"/>
    </row>
    <row r="167" spans="2:11" s="38" customFormat="1" ht="15.95" customHeight="1" x14ac:dyDescent="0.25">
      <c r="B167" s="417" t="s">
        <v>805</v>
      </c>
      <c r="C167" s="416"/>
      <c r="D167" s="416"/>
      <c r="E167" s="416"/>
      <c r="F167" s="61"/>
      <c r="G167" s="416"/>
      <c r="H167" s="40"/>
      <c r="I167" s="416"/>
      <c r="J167" s="40"/>
      <c r="K167" s="416"/>
    </row>
    <row r="168" spans="2:11" s="38" customFormat="1" ht="15.95" customHeight="1" x14ac:dyDescent="0.25">
      <c r="B168" s="417" t="s">
        <v>806</v>
      </c>
      <c r="C168" s="416"/>
      <c r="D168" s="416"/>
      <c r="E168" s="416"/>
      <c r="F168" s="61"/>
      <c r="G168" s="416"/>
      <c r="H168" s="40"/>
      <c r="I168" s="416"/>
      <c r="J168" s="40"/>
      <c r="K168" s="416"/>
    </row>
    <row r="169" spans="2:11" s="38" customFormat="1" ht="15.95" customHeight="1" x14ac:dyDescent="0.25">
      <c r="B169" s="417" t="s">
        <v>807</v>
      </c>
      <c r="C169" s="416"/>
      <c r="D169" s="416"/>
      <c r="E169" s="416"/>
      <c r="F169" s="61"/>
      <c r="G169" s="416"/>
      <c r="H169" s="40"/>
      <c r="I169" s="416"/>
      <c r="J169" s="40"/>
      <c r="K169" s="416"/>
    </row>
    <row r="170" spans="2:11" s="38" customFormat="1" ht="15.95" customHeight="1" x14ac:dyDescent="0.25">
      <c r="B170" s="417" t="s">
        <v>808</v>
      </c>
      <c r="C170" s="416"/>
      <c r="D170" s="416"/>
      <c r="E170" s="416"/>
      <c r="F170" s="61"/>
      <c r="G170" s="416"/>
      <c r="H170" s="40"/>
      <c r="I170" s="416"/>
      <c r="J170" s="40"/>
      <c r="K170" s="416"/>
    </row>
    <row r="171" spans="2:11" s="38" customFormat="1" ht="15.95" customHeight="1" x14ac:dyDescent="0.25">
      <c r="B171" s="417" t="s">
        <v>809</v>
      </c>
      <c r="C171" s="416"/>
      <c r="D171" s="416"/>
      <c r="E171" s="416"/>
      <c r="F171" s="61"/>
      <c r="G171" s="416"/>
      <c r="H171" s="40"/>
      <c r="I171" s="416"/>
      <c r="J171" s="40"/>
      <c r="K171" s="416"/>
    </row>
    <row r="172" spans="2:11" s="38" customFormat="1" ht="15.95" customHeight="1" x14ac:dyDescent="0.25">
      <c r="B172" s="417" t="s">
        <v>807</v>
      </c>
      <c r="C172" s="416"/>
      <c r="D172" s="416"/>
      <c r="E172" s="416"/>
      <c r="F172" s="61"/>
      <c r="G172" s="416"/>
      <c r="H172" s="40"/>
      <c r="I172" s="416"/>
      <c r="J172" s="40"/>
      <c r="K172" s="416"/>
    </row>
    <row r="173" spans="2:11" s="38" customFormat="1" ht="15.95" customHeight="1" x14ac:dyDescent="0.25">
      <c r="C173" s="416"/>
      <c r="D173" s="416"/>
      <c r="E173" s="416"/>
      <c r="F173" s="61"/>
      <c r="G173" s="416"/>
      <c r="H173" s="40"/>
      <c r="I173" s="416"/>
      <c r="J173" s="40"/>
      <c r="K173" s="416"/>
    </row>
    <row r="174" spans="2:11" s="38" customFormat="1" ht="15.95" customHeight="1" x14ac:dyDescent="0.25">
      <c r="B174" s="38" t="s">
        <v>811</v>
      </c>
      <c r="C174" s="416"/>
      <c r="D174" s="416"/>
      <c r="E174" s="416"/>
      <c r="F174" s="61"/>
      <c r="G174" s="416"/>
      <c r="H174" s="40"/>
      <c r="I174" s="416"/>
      <c r="J174" s="40"/>
      <c r="K174" s="416"/>
    </row>
    <row r="175" spans="2:11" s="38" customFormat="1" ht="15.95" customHeight="1" x14ac:dyDescent="0.25">
      <c r="B175" s="417" t="s">
        <v>812</v>
      </c>
      <c r="C175" s="416"/>
      <c r="D175" s="416"/>
      <c r="E175" s="416"/>
      <c r="F175" s="61"/>
      <c r="G175" s="416"/>
      <c r="H175" s="40"/>
      <c r="I175" s="416"/>
      <c r="J175" s="40"/>
      <c r="K175" s="416"/>
    </row>
    <row r="176" spans="2:11" s="38" customFormat="1" ht="15.95" customHeight="1" x14ac:dyDescent="0.25">
      <c r="B176" s="417" t="s">
        <v>814</v>
      </c>
      <c r="C176" s="416"/>
      <c r="D176" s="416"/>
      <c r="E176" s="416"/>
      <c r="F176" s="61"/>
      <c r="G176" s="416"/>
      <c r="H176" s="40"/>
      <c r="I176" s="416"/>
      <c r="J176" s="40"/>
      <c r="K176" s="416"/>
    </row>
    <row r="177" spans="2:11" s="38" customFormat="1" ht="15.95" customHeight="1" x14ac:dyDescent="0.25">
      <c r="B177" s="417" t="s">
        <v>813</v>
      </c>
      <c r="C177" s="416"/>
      <c r="D177" s="416"/>
      <c r="E177" s="416"/>
      <c r="F177" s="61"/>
      <c r="G177" s="416"/>
      <c r="H177" s="40"/>
      <c r="I177" s="416"/>
      <c r="J177" s="40"/>
      <c r="K177" s="416"/>
    </row>
    <row r="178" spans="2:11" s="38" customFormat="1" ht="15.95" customHeight="1" x14ac:dyDescent="0.25">
      <c r="B178" s="418" t="s">
        <v>815</v>
      </c>
      <c r="C178" s="416"/>
      <c r="D178" s="416"/>
      <c r="E178" s="416"/>
      <c r="F178" s="61"/>
      <c r="G178" s="416"/>
      <c r="H178" s="40"/>
      <c r="I178" s="416"/>
      <c r="J178" s="40"/>
      <c r="K178" s="416"/>
    </row>
    <row r="179" spans="2:11" s="38" customFormat="1" ht="15.95" customHeight="1" x14ac:dyDescent="0.25">
      <c r="B179" s="38" t="s">
        <v>948</v>
      </c>
      <c r="C179" s="416"/>
      <c r="D179" s="416"/>
      <c r="E179" s="416"/>
      <c r="F179" s="61"/>
      <c r="G179" s="416"/>
      <c r="H179" s="40"/>
      <c r="I179" s="416"/>
      <c r="J179" s="40"/>
      <c r="K179" s="416"/>
    </row>
    <row r="180" spans="2:11" s="38" customFormat="1" ht="15.95" customHeight="1" x14ac:dyDescent="0.25">
      <c r="B180" s="38" t="s">
        <v>827</v>
      </c>
      <c r="C180" s="416"/>
      <c r="D180" s="416"/>
      <c r="E180" s="416"/>
      <c r="F180" s="61"/>
      <c r="G180" s="416"/>
      <c r="H180" s="40"/>
      <c r="I180" s="416"/>
      <c r="J180" s="40"/>
      <c r="K180" s="416"/>
    </row>
    <row r="181" spans="2:11" s="38" customFormat="1" ht="15.95" customHeight="1" x14ac:dyDescent="0.25">
      <c r="B181" s="38" t="s">
        <v>828</v>
      </c>
      <c r="C181" s="416"/>
      <c r="D181" s="416"/>
      <c r="E181" s="416"/>
      <c r="F181" s="61"/>
      <c r="G181" s="416"/>
      <c r="H181" s="40"/>
      <c r="I181" s="416"/>
      <c r="J181" s="40"/>
      <c r="K181" s="416"/>
    </row>
    <row r="182" spans="2:11" s="38" customFormat="1" ht="15.95" customHeight="1" x14ac:dyDescent="0.25">
      <c r="B182" s="38" t="s">
        <v>829</v>
      </c>
      <c r="C182" s="416"/>
      <c r="D182" s="416"/>
      <c r="E182" s="416"/>
      <c r="F182" s="61"/>
      <c r="G182" s="416"/>
      <c r="H182" s="40"/>
      <c r="I182" s="416"/>
      <c r="J182" s="40"/>
      <c r="K182" s="416"/>
    </row>
    <row r="183" spans="2:11" s="38" customFormat="1" ht="15.95" customHeight="1" x14ac:dyDescent="0.25">
      <c r="B183" s="38" t="s">
        <v>830</v>
      </c>
      <c r="C183" s="416"/>
      <c r="D183" s="416"/>
      <c r="E183" s="416"/>
      <c r="F183" s="61"/>
      <c r="G183" s="416"/>
      <c r="H183" s="40"/>
      <c r="I183" s="416"/>
      <c r="J183" s="40"/>
      <c r="K183" s="416"/>
    </row>
    <row r="184" spans="2:11" s="38" customFormat="1" ht="15.95" customHeight="1" x14ac:dyDescent="0.25">
      <c r="B184" s="38" t="s">
        <v>816</v>
      </c>
      <c r="C184" s="416"/>
      <c r="D184" s="416"/>
      <c r="E184" s="416"/>
      <c r="F184" s="61"/>
      <c r="G184" s="416"/>
      <c r="H184" s="40"/>
      <c r="I184" s="416"/>
      <c r="J184" s="40"/>
      <c r="K184" s="416"/>
    </row>
    <row r="185" spans="2:11" s="38" customFormat="1" ht="15.95" customHeight="1" x14ac:dyDescent="0.25">
      <c r="C185" s="416"/>
      <c r="D185" s="416"/>
      <c r="E185" s="416"/>
      <c r="F185" s="61"/>
      <c r="G185" s="416"/>
      <c r="H185" s="40"/>
      <c r="I185" s="416"/>
      <c r="J185" s="40"/>
      <c r="K185" s="416"/>
    </row>
    <row r="186" spans="2:11" s="38" customFormat="1" ht="15.95" customHeight="1" x14ac:dyDescent="0.25">
      <c r="B186" s="38" t="s">
        <v>817</v>
      </c>
      <c r="C186" s="416"/>
      <c r="D186" s="416"/>
      <c r="E186" s="416"/>
      <c r="F186" s="61"/>
      <c r="G186" s="416"/>
      <c r="H186" s="40"/>
      <c r="I186" s="416"/>
      <c r="J186" s="40"/>
      <c r="K186" s="416"/>
    </row>
    <row r="187" spans="2:11" s="38" customFormat="1" ht="15.95" customHeight="1" x14ac:dyDescent="0.25">
      <c r="B187" s="38" t="s">
        <v>818</v>
      </c>
      <c r="C187" s="416"/>
      <c r="D187" s="416"/>
      <c r="E187" s="416"/>
      <c r="F187" s="61"/>
      <c r="G187" s="416"/>
      <c r="H187" s="40"/>
      <c r="I187" s="416"/>
      <c r="J187" s="40"/>
      <c r="K187" s="416"/>
    </row>
    <row r="188" spans="2:11" s="38" customFormat="1" ht="15.95" customHeight="1" x14ac:dyDescent="0.25">
      <c r="B188" s="38" t="s">
        <v>819</v>
      </c>
      <c r="C188" s="416"/>
      <c r="D188" s="416"/>
      <c r="E188" s="416"/>
      <c r="F188" s="61"/>
      <c r="G188" s="416"/>
      <c r="H188" s="40"/>
      <c r="I188" s="416"/>
      <c r="J188" s="40"/>
      <c r="K188" s="416"/>
    </row>
    <row r="189" spans="2:11" s="38" customFormat="1" ht="15.95" customHeight="1" x14ac:dyDescent="0.25">
      <c r="B189" s="38" t="s">
        <v>820</v>
      </c>
      <c r="C189" s="416"/>
      <c r="D189" s="416"/>
      <c r="E189" s="416"/>
      <c r="F189" s="61"/>
      <c r="G189" s="416"/>
      <c r="H189" s="40"/>
      <c r="I189" s="416"/>
      <c r="J189" s="40"/>
      <c r="K189" s="416"/>
    </row>
    <row r="190" spans="2:11" s="38" customFormat="1" ht="15.95" customHeight="1" x14ac:dyDescent="0.25">
      <c r="B190" s="38" t="s">
        <v>821</v>
      </c>
      <c r="C190" s="416"/>
      <c r="D190" s="416"/>
      <c r="E190" s="416"/>
      <c r="F190" s="61"/>
      <c r="G190" s="416"/>
      <c r="H190" s="40"/>
      <c r="I190" s="416"/>
      <c r="J190" s="40"/>
      <c r="K190" s="416"/>
    </row>
    <row r="191" spans="2:11" s="38" customFormat="1" ht="15.95" customHeight="1" x14ac:dyDescent="0.25">
      <c r="B191" s="38" t="s">
        <v>822</v>
      </c>
      <c r="C191" s="416"/>
      <c r="D191" s="416"/>
      <c r="E191" s="416"/>
      <c r="F191" s="61"/>
      <c r="G191" s="416"/>
      <c r="H191" s="40"/>
      <c r="I191" s="416"/>
      <c r="J191" s="40"/>
      <c r="K191" s="416"/>
    </row>
    <row r="192" spans="2:11" s="38" customFormat="1" ht="15.95" customHeight="1" x14ac:dyDescent="0.25">
      <c r="B192" s="38" t="s">
        <v>823</v>
      </c>
      <c r="C192" s="416"/>
      <c r="D192" s="416"/>
      <c r="E192" s="416"/>
      <c r="F192" s="61"/>
      <c r="G192" s="416"/>
      <c r="H192" s="40"/>
      <c r="I192" s="416"/>
      <c r="J192" s="40"/>
      <c r="K192" s="416"/>
    </row>
    <row r="193" spans="1:11" s="38" customFormat="1" ht="15.95" customHeight="1" x14ac:dyDescent="0.25">
      <c r="B193" s="38" t="s">
        <v>824</v>
      </c>
      <c r="C193" s="416"/>
      <c r="D193" s="416"/>
      <c r="E193" s="416"/>
      <c r="F193" s="61"/>
      <c r="G193" s="416"/>
      <c r="H193" s="40"/>
      <c r="I193" s="416"/>
      <c r="J193" s="40"/>
      <c r="K193" s="416"/>
    </row>
    <row r="194" spans="1:11" s="38" customFormat="1" ht="15.95" customHeight="1" x14ac:dyDescent="0.25">
      <c r="B194" s="38" t="s">
        <v>825</v>
      </c>
      <c r="C194" s="416"/>
      <c r="D194" s="416"/>
      <c r="E194" s="416"/>
      <c r="F194" s="61"/>
      <c r="G194" s="416"/>
      <c r="H194" s="40"/>
      <c r="I194" s="416"/>
      <c r="J194" s="40"/>
      <c r="K194" s="416"/>
    </row>
    <row r="195" spans="1:11" s="38" customFormat="1" ht="15.95" customHeight="1" x14ac:dyDescent="0.25">
      <c r="C195" s="416"/>
      <c r="D195" s="416"/>
      <c r="E195" s="416"/>
      <c r="F195" s="61"/>
      <c r="G195" s="416"/>
      <c r="H195" s="40"/>
      <c r="I195" s="416"/>
      <c r="J195" s="40"/>
      <c r="K195" s="416"/>
    </row>
    <row r="196" spans="1:11" s="38" customFormat="1" ht="15.95" customHeight="1" x14ac:dyDescent="0.25">
      <c r="B196" s="38" t="s">
        <v>826</v>
      </c>
      <c r="C196" s="416"/>
      <c r="D196" s="416"/>
      <c r="E196" s="416"/>
      <c r="F196" s="61"/>
      <c r="G196" s="416"/>
      <c r="H196" s="40"/>
      <c r="I196" s="416"/>
      <c r="J196" s="40"/>
      <c r="K196" s="416"/>
    </row>
    <row r="197" spans="1:11" s="38" customFormat="1" ht="15.95" customHeight="1" x14ac:dyDescent="0.25">
      <c r="C197" s="212"/>
      <c r="D197" s="212"/>
      <c r="E197" s="212"/>
      <c r="F197" s="212"/>
    </row>
    <row r="198" spans="1:11" s="43" customFormat="1" ht="24.95" customHeight="1" x14ac:dyDescent="0.25">
      <c r="A198" s="378" t="s">
        <v>874</v>
      </c>
    </row>
    <row r="199" spans="1:11" s="38" customFormat="1" ht="15.95" customHeight="1" x14ac:dyDescent="0.25">
      <c r="B199" s="38" t="s">
        <v>127</v>
      </c>
    </row>
    <row r="200" spans="1:11" s="38" customFormat="1" ht="15.95" customHeight="1" x14ac:dyDescent="0.25">
      <c r="B200" s="38" t="s">
        <v>235</v>
      </c>
    </row>
    <row r="201" spans="1:11" s="38" customFormat="1" ht="15.95" customHeight="1" x14ac:dyDescent="0.25">
      <c r="B201" s="38" t="s">
        <v>128</v>
      </c>
    </row>
    <row r="202" spans="1:11" s="38" customFormat="1" ht="15.95" customHeight="1" x14ac:dyDescent="0.25">
      <c r="B202" s="38" t="s">
        <v>200</v>
      </c>
    </row>
    <row r="203" spans="1:11" s="38" customFormat="1" ht="15.95" customHeight="1" x14ac:dyDescent="0.25">
      <c r="B203" s="38" t="s">
        <v>129</v>
      </c>
    </row>
    <row r="204" spans="1:11" s="38" customFormat="1" ht="15.95" customHeight="1" x14ac:dyDescent="0.25">
      <c r="B204" s="38" t="s">
        <v>535</v>
      </c>
    </row>
    <row r="205" spans="1:11" s="38" customFormat="1" ht="15.95" customHeight="1" x14ac:dyDescent="0.25">
      <c r="B205" s="38" t="s">
        <v>638</v>
      </c>
    </row>
    <row r="206" spans="1:11" s="38" customFormat="1" ht="15.95" customHeight="1" x14ac:dyDescent="0.25"/>
    <row r="207" spans="1:11" s="38" customFormat="1" ht="15.95" customHeight="1" x14ac:dyDescent="0.25">
      <c r="B207" s="119" t="s">
        <v>536</v>
      </c>
    </row>
    <row r="208" spans="1:11" s="38" customFormat="1" ht="15.95" customHeight="1" x14ac:dyDescent="0.25">
      <c r="B208" s="119"/>
    </row>
    <row r="209" spans="2:79" s="38" customFormat="1" ht="24.95" customHeight="1" x14ac:dyDescent="0.25">
      <c r="B209" s="390" t="s">
        <v>132</v>
      </c>
    </row>
    <row r="210" spans="2:79" s="38" customFormat="1" ht="20.100000000000001" customHeight="1" x14ac:dyDescent="0.25">
      <c r="B210" s="485" t="s">
        <v>19</v>
      </c>
      <c r="C210" s="503" t="s">
        <v>31</v>
      </c>
      <c r="D210" s="504"/>
      <c r="E210" s="504"/>
      <c r="F210" s="505"/>
      <c r="G210" s="487" t="s">
        <v>130</v>
      </c>
      <c r="H210" s="488"/>
      <c r="I210" s="488"/>
      <c r="J210" s="488"/>
      <c r="K210" s="488"/>
      <c r="L210" s="488"/>
      <c r="M210" s="488"/>
      <c r="N210" s="488"/>
      <c r="O210" s="488"/>
      <c r="P210" s="488"/>
      <c r="Q210" s="488"/>
      <c r="R210" s="488"/>
      <c r="S210" s="488"/>
      <c r="T210" s="488"/>
      <c r="U210" s="488"/>
      <c r="V210" s="488"/>
      <c r="W210" s="488"/>
      <c r="X210" s="488"/>
      <c r="Y210" s="488"/>
      <c r="Z210" s="488"/>
      <c r="AA210" s="488"/>
      <c r="AB210" s="488"/>
      <c r="AC210" s="488"/>
      <c r="AD210" s="488"/>
      <c r="AE210" s="488"/>
      <c r="AF210" s="488"/>
      <c r="AG210" s="488"/>
      <c r="AH210" s="488"/>
      <c r="AI210" s="488"/>
      <c r="AJ210" s="488"/>
      <c r="AK210" s="488"/>
      <c r="AL210" s="488"/>
      <c r="AM210" s="488"/>
      <c r="AN210" s="488"/>
      <c r="AO210" s="488"/>
      <c r="AP210" s="488"/>
      <c r="AQ210" s="488"/>
      <c r="AR210" s="488"/>
      <c r="AS210" s="488"/>
      <c r="AT210" s="488"/>
      <c r="AU210" s="488"/>
      <c r="AV210" s="488"/>
      <c r="AW210" s="488"/>
      <c r="AX210" s="488"/>
      <c r="AY210" s="488"/>
      <c r="AZ210" s="488"/>
      <c r="BA210" s="488"/>
      <c r="BB210" s="488"/>
      <c r="BC210" s="488"/>
      <c r="BD210" s="488"/>
      <c r="BE210" s="488"/>
      <c r="BF210" s="488"/>
      <c r="BG210" s="488"/>
      <c r="BH210" s="488"/>
      <c r="BI210" s="488"/>
      <c r="BJ210" s="488"/>
      <c r="BK210" s="488"/>
      <c r="BL210" s="488"/>
      <c r="BM210" s="488"/>
      <c r="BN210" s="488"/>
      <c r="BO210" s="488"/>
      <c r="BP210" s="488"/>
      <c r="BQ210" s="488"/>
      <c r="BR210" s="488"/>
      <c r="BS210" s="488"/>
      <c r="BT210" s="488"/>
      <c r="BU210" s="488"/>
      <c r="BV210" s="488"/>
      <c r="BW210" s="488"/>
      <c r="BX210" s="488"/>
      <c r="BY210" s="488"/>
      <c r="BZ210" s="488"/>
      <c r="CA210" s="489"/>
    </row>
    <row r="211" spans="2:79" s="38" customFormat="1" ht="20.100000000000001" customHeight="1" x14ac:dyDescent="0.25">
      <c r="B211" s="485"/>
      <c r="C211" s="506"/>
      <c r="D211" s="507"/>
      <c r="E211" s="507"/>
      <c r="F211" s="508"/>
      <c r="G211" s="485" t="s">
        <v>47</v>
      </c>
      <c r="H211" s="485"/>
      <c r="I211" s="485" t="s">
        <v>48</v>
      </c>
      <c r="J211" s="485"/>
      <c r="K211" s="485" t="s">
        <v>49</v>
      </c>
      <c r="L211" s="485"/>
      <c r="M211" s="485" t="s">
        <v>50</v>
      </c>
      <c r="N211" s="485"/>
      <c r="O211" s="485" t="s">
        <v>51</v>
      </c>
      <c r="P211" s="485"/>
      <c r="Q211" s="485" t="s">
        <v>52</v>
      </c>
      <c r="R211" s="485"/>
      <c r="S211" s="485" t="s">
        <v>53</v>
      </c>
      <c r="T211" s="485"/>
      <c r="U211" s="485" t="s">
        <v>54</v>
      </c>
      <c r="V211" s="485"/>
      <c r="W211" s="485" t="s">
        <v>55</v>
      </c>
      <c r="X211" s="485"/>
      <c r="Y211" s="485" t="s">
        <v>56</v>
      </c>
      <c r="Z211" s="485"/>
      <c r="AA211" s="485" t="s">
        <v>57</v>
      </c>
      <c r="AB211" s="485"/>
      <c r="AC211" s="485" t="s">
        <v>58</v>
      </c>
      <c r="AD211" s="485"/>
      <c r="AE211" s="485" t="s">
        <v>59</v>
      </c>
      <c r="AF211" s="485"/>
      <c r="AG211" s="485" t="s">
        <v>60</v>
      </c>
      <c r="AH211" s="485"/>
      <c r="AI211" s="485" t="s">
        <v>61</v>
      </c>
      <c r="AJ211" s="485"/>
      <c r="AK211" s="485" t="s">
        <v>100</v>
      </c>
      <c r="AL211" s="485"/>
      <c r="AM211" s="485" t="s">
        <v>101</v>
      </c>
      <c r="AN211" s="485"/>
      <c r="AO211" s="485" t="s">
        <v>102</v>
      </c>
      <c r="AP211" s="485"/>
      <c r="AQ211" s="485" t="s">
        <v>103</v>
      </c>
      <c r="AR211" s="485"/>
      <c r="AS211" s="485" t="s">
        <v>104</v>
      </c>
      <c r="AT211" s="485"/>
      <c r="AU211" s="485" t="s">
        <v>105</v>
      </c>
      <c r="AV211" s="485"/>
      <c r="AW211" s="485" t="s">
        <v>106</v>
      </c>
      <c r="AX211" s="485"/>
      <c r="AY211" s="485" t="s">
        <v>126</v>
      </c>
      <c r="AZ211" s="485"/>
      <c r="BA211" s="485" t="s">
        <v>107</v>
      </c>
      <c r="BB211" s="485"/>
      <c r="BC211" s="485" t="s">
        <v>108</v>
      </c>
      <c r="BD211" s="485"/>
      <c r="BE211" s="485" t="s">
        <v>109</v>
      </c>
      <c r="BF211" s="485"/>
      <c r="BG211" s="485" t="s">
        <v>110</v>
      </c>
      <c r="BH211" s="485"/>
      <c r="BI211" s="485" t="s">
        <v>111</v>
      </c>
      <c r="BJ211" s="485"/>
      <c r="BK211" s="485" t="s">
        <v>112</v>
      </c>
      <c r="BL211" s="485"/>
      <c r="BM211" s="485" t="s">
        <v>113</v>
      </c>
      <c r="BN211" s="485"/>
      <c r="BO211" s="485" t="s">
        <v>114</v>
      </c>
      <c r="BP211" s="485"/>
      <c r="BQ211" s="485" t="s">
        <v>115</v>
      </c>
      <c r="BR211" s="485"/>
      <c r="BS211" s="485" t="s">
        <v>116</v>
      </c>
      <c r="BT211" s="485"/>
      <c r="BU211" s="485" t="s">
        <v>117</v>
      </c>
      <c r="BV211" s="485"/>
      <c r="BW211" s="485" t="s">
        <v>118</v>
      </c>
      <c r="BX211" s="485"/>
      <c r="BY211" s="485" t="s">
        <v>119</v>
      </c>
      <c r="BZ211" s="485"/>
      <c r="CA211" s="485" t="s">
        <v>62</v>
      </c>
    </row>
    <row r="212" spans="2:79" s="38" customFormat="1" ht="20.100000000000001" customHeight="1" x14ac:dyDescent="0.25">
      <c r="B212" s="485"/>
      <c r="C212" s="104" t="s">
        <v>17</v>
      </c>
      <c r="D212" s="106" t="s">
        <v>20</v>
      </c>
      <c r="E212" s="104" t="s">
        <v>35</v>
      </c>
      <c r="F212" s="349" t="s">
        <v>22</v>
      </c>
      <c r="G212" s="104" t="s">
        <v>24</v>
      </c>
      <c r="H212" s="403" t="s">
        <v>161</v>
      </c>
      <c r="I212" s="104" t="s">
        <v>24</v>
      </c>
      <c r="J212" s="403" t="s">
        <v>161</v>
      </c>
      <c r="K212" s="104" t="s">
        <v>24</v>
      </c>
      <c r="L212" s="403" t="s">
        <v>161</v>
      </c>
      <c r="M212" s="104" t="s">
        <v>24</v>
      </c>
      <c r="N212" s="403" t="s">
        <v>161</v>
      </c>
      <c r="O212" s="104" t="s">
        <v>24</v>
      </c>
      <c r="P212" s="403" t="s">
        <v>161</v>
      </c>
      <c r="Q212" s="104" t="s">
        <v>24</v>
      </c>
      <c r="R212" s="403" t="s">
        <v>161</v>
      </c>
      <c r="S212" s="104" t="s">
        <v>24</v>
      </c>
      <c r="T212" s="403" t="s">
        <v>161</v>
      </c>
      <c r="U212" s="104" t="s">
        <v>24</v>
      </c>
      <c r="V212" s="403" t="s">
        <v>161</v>
      </c>
      <c r="W212" s="104" t="s">
        <v>24</v>
      </c>
      <c r="X212" s="403" t="s">
        <v>161</v>
      </c>
      <c r="Y212" s="104" t="s">
        <v>24</v>
      </c>
      <c r="Z212" s="403" t="s">
        <v>161</v>
      </c>
      <c r="AA212" s="104" t="s">
        <v>24</v>
      </c>
      <c r="AB212" s="403" t="s">
        <v>161</v>
      </c>
      <c r="AC212" s="104" t="s">
        <v>24</v>
      </c>
      <c r="AD212" s="403" t="s">
        <v>161</v>
      </c>
      <c r="AE212" s="104" t="s">
        <v>24</v>
      </c>
      <c r="AF212" s="403" t="s">
        <v>161</v>
      </c>
      <c r="AG212" s="104" t="s">
        <v>24</v>
      </c>
      <c r="AH212" s="403" t="s">
        <v>161</v>
      </c>
      <c r="AI212" s="104" t="s">
        <v>24</v>
      </c>
      <c r="AJ212" s="403" t="s">
        <v>161</v>
      </c>
      <c r="AK212" s="104" t="s">
        <v>24</v>
      </c>
      <c r="AL212" s="403" t="s">
        <v>161</v>
      </c>
      <c r="AM212" s="104" t="s">
        <v>24</v>
      </c>
      <c r="AN212" s="403" t="s">
        <v>161</v>
      </c>
      <c r="AO212" s="104" t="s">
        <v>24</v>
      </c>
      <c r="AP212" s="403" t="s">
        <v>161</v>
      </c>
      <c r="AQ212" s="104" t="s">
        <v>24</v>
      </c>
      <c r="AR212" s="403" t="s">
        <v>161</v>
      </c>
      <c r="AS212" s="104" t="s">
        <v>24</v>
      </c>
      <c r="AT212" s="403" t="s">
        <v>161</v>
      </c>
      <c r="AU212" s="104" t="s">
        <v>24</v>
      </c>
      <c r="AV212" s="403" t="s">
        <v>161</v>
      </c>
      <c r="AW212" s="104" t="s">
        <v>24</v>
      </c>
      <c r="AX212" s="403" t="s">
        <v>161</v>
      </c>
      <c r="AY212" s="104" t="s">
        <v>24</v>
      </c>
      <c r="AZ212" s="403" t="s">
        <v>161</v>
      </c>
      <c r="BA212" s="104" t="s">
        <v>24</v>
      </c>
      <c r="BB212" s="403" t="s">
        <v>161</v>
      </c>
      <c r="BC212" s="104" t="s">
        <v>24</v>
      </c>
      <c r="BD212" s="403" t="s">
        <v>161</v>
      </c>
      <c r="BE212" s="104" t="s">
        <v>24</v>
      </c>
      <c r="BF212" s="403" t="s">
        <v>161</v>
      </c>
      <c r="BG212" s="104" t="s">
        <v>24</v>
      </c>
      <c r="BH212" s="403" t="s">
        <v>161</v>
      </c>
      <c r="BI212" s="104" t="s">
        <v>24</v>
      </c>
      <c r="BJ212" s="403" t="s">
        <v>161</v>
      </c>
      <c r="BK212" s="104" t="s">
        <v>24</v>
      </c>
      <c r="BL212" s="403" t="s">
        <v>161</v>
      </c>
      <c r="BM212" s="104" t="s">
        <v>24</v>
      </c>
      <c r="BN212" s="403" t="s">
        <v>161</v>
      </c>
      <c r="BO212" s="104" t="s">
        <v>24</v>
      </c>
      <c r="BP212" s="403" t="s">
        <v>161</v>
      </c>
      <c r="BQ212" s="104" t="s">
        <v>24</v>
      </c>
      <c r="BR212" s="403" t="s">
        <v>161</v>
      </c>
      <c r="BS212" s="104" t="s">
        <v>24</v>
      </c>
      <c r="BT212" s="403" t="s">
        <v>161</v>
      </c>
      <c r="BU212" s="104" t="s">
        <v>24</v>
      </c>
      <c r="BV212" s="403" t="s">
        <v>161</v>
      </c>
      <c r="BW212" s="104" t="s">
        <v>24</v>
      </c>
      <c r="BX212" s="403" t="s">
        <v>161</v>
      </c>
      <c r="BY212" s="104" t="s">
        <v>24</v>
      </c>
      <c r="BZ212" s="403" t="s">
        <v>161</v>
      </c>
      <c r="CA212" s="485"/>
    </row>
    <row r="213" spans="2:79" s="38" customFormat="1" ht="15.95" customHeight="1" x14ac:dyDescent="0.25">
      <c r="B213" s="98">
        <v>1</v>
      </c>
      <c r="C213" s="125">
        <f>'Os juros sobre juros'!$E$46</f>
        <v>331.89250191718025</v>
      </c>
      <c r="D213" s="125">
        <f>C213/POWER(1+$E$32,B213)</f>
        <v>321.72596153274549</v>
      </c>
      <c r="E213" s="125">
        <f>C213-D213</f>
        <v>10.166540384434768</v>
      </c>
      <c r="F213" s="15">
        <f t="shared" ref="F213:F248" si="23">E213/D213</f>
        <v>3.1600000000000031E-2</v>
      </c>
      <c r="G213" s="125">
        <f t="shared" ref="G213:G248" si="24">D213</f>
        <v>321.72596153274549</v>
      </c>
      <c r="H213" s="125">
        <f>G213*$E$32</f>
        <v>10.166540384434759</v>
      </c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  <c r="AY213" s="125"/>
      <c r="AZ213" s="125"/>
      <c r="BA213" s="125"/>
      <c r="BB213" s="125"/>
      <c r="BC213" s="125"/>
      <c r="BD213" s="125"/>
      <c r="BE213" s="125"/>
      <c r="BF213" s="125"/>
      <c r="BG213" s="125"/>
      <c r="BH213" s="125"/>
      <c r="BI213" s="125"/>
      <c r="BJ213" s="125"/>
      <c r="BK213" s="125"/>
      <c r="BL213" s="125"/>
      <c r="BM213" s="125"/>
      <c r="BN213" s="125"/>
      <c r="BO213" s="125"/>
      <c r="BP213" s="125"/>
      <c r="BQ213" s="125"/>
      <c r="BR213" s="125"/>
      <c r="BS213" s="125"/>
      <c r="BT213" s="125"/>
      <c r="BU213" s="125"/>
      <c r="BV213" s="125"/>
      <c r="BW213" s="125"/>
      <c r="BX213" s="125"/>
      <c r="BY213" s="125"/>
      <c r="BZ213" s="125"/>
      <c r="CA213" s="125">
        <f t="shared" ref="CA213:CA248" si="25">E213</f>
        <v>10.166540384434768</v>
      </c>
    </row>
    <row r="214" spans="2:79" s="38" customFormat="1" ht="15.95" customHeight="1" x14ac:dyDescent="0.25">
      <c r="B214" s="98">
        <f>B213+1</f>
        <v>2</v>
      </c>
      <c r="C214" s="125">
        <f>'Os juros sobre juros'!$E$46</f>
        <v>331.89250191718025</v>
      </c>
      <c r="D214" s="125">
        <f t="shared" ref="D214:D215" si="26">C214/POWER(1+$E$32,B214)</f>
        <v>311.87084289719411</v>
      </c>
      <c r="E214" s="125">
        <f t="shared" ref="E214:E215" si="27">C214-D214</f>
        <v>20.021659019986146</v>
      </c>
      <c r="F214" s="15">
        <f t="shared" si="23"/>
        <v>6.4198560000000182E-2</v>
      </c>
      <c r="G214" s="125">
        <f t="shared" si="24"/>
        <v>311.87084289719411</v>
      </c>
      <c r="H214" s="125">
        <f t="shared" ref="H214:H247" si="28">G214*$E$32</f>
        <v>9.8551186355513352</v>
      </c>
      <c r="I214" s="125">
        <f t="shared" ref="I214:I215" si="29">G214+H214</f>
        <v>321.72596153274543</v>
      </c>
      <c r="J214" s="125">
        <f t="shared" ref="J214:L215" si="30">I214*$E$32</f>
        <v>10.166540384434757</v>
      </c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  <c r="AF214" s="125"/>
      <c r="AG214" s="125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  <c r="AY214" s="125"/>
      <c r="AZ214" s="125"/>
      <c r="BA214" s="125"/>
      <c r="BB214" s="125"/>
      <c r="BC214" s="125"/>
      <c r="BD214" s="125"/>
      <c r="BE214" s="125"/>
      <c r="BF214" s="125"/>
      <c r="BG214" s="125"/>
      <c r="BH214" s="125"/>
      <c r="BI214" s="125"/>
      <c r="BJ214" s="125"/>
      <c r="BK214" s="125"/>
      <c r="BL214" s="125"/>
      <c r="BM214" s="125"/>
      <c r="BN214" s="125"/>
      <c r="BO214" s="125"/>
      <c r="BP214" s="125"/>
      <c r="BQ214" s="125"/>
      <c r="BR214" s="125"/>
      <c r="BS214" s="125"/>
      <c r="BT214" s="125"/>
      <c r="BU214" s="125"/>
      <c r="BV214" s="125"/>
      <c r="BW214" s="125"/>
      <c r="BX214" s="125"/>
      <c r="BY214" s="125"/>
      <c r="BZ214" s="125"/>
      <c r="CA214" s="125">
        <f t="shared" si="25"/>
        <v>20.021659019986146</v>
      </c>
    </row>
    <row r="215" spans="2:79" s="38" customFormat="1" ht="15.95" customHeight="1" x14ac:dyDescent="0.25">
      <c r="B215" s="98">
        <f t="shared" ref="B215:B248" si="31">B214+1</f>
        <v>3</v>
      </c>
      <c r="C215" s="125">
        <f>'Os juros sobre juros'!$E$46</f>
        <v>331.89250191718025</v>
      </c>
      <c r="D215" s="125">
        <f t="shared" si="26"/>
        <v>302.31760653082017</v>
      </c>
      <c r="E215" s="125">
        <f t="shared" si="27"/>
        <v>29.574895386360083</v>
      </c>
      <c r="F215" s="15">
        <f t="shared" si="23"/>
        <v>9.7827234496000254E-2</v>
      </c>
      <c r="G215" s="125">
        <f t="shared" si="24"/>
        <v>302.31760653082017</v>
      </c>
      <c r="H215" s="125">
        <f t="shared" si="28"/>
        <v>9.5532363663739179</v>
      </c>
      <c r="I215" s="125">
        <f t="shared" si="29"/>
        <v>311.87084289719411</v>
      </c>
      <c r="J215" s="125">
        <f t="shared" si="30"/>
        <v>9.8551186355513352</v>
      </c>
      <c r="K215" s="125">
        <f t="shared" ref="K215" si="32">I215+J215</f>
        <v>321.72596153274543</v>
      </c>
      <c r="L215" s="125">
        <f t="shared" si="30"/>
        <v>10.166540384434757</v>
      </c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  <c r="AY215" s="125"/>
      <c r="AZ215" s="125"/>
      <c r="BA215" s="125"/>
      <c r="BB215" s="125"/>
      <c r="BC215" s="125"/>
      <c r="BD215" s="125"/>
      <c r="BE215" s="125"/>
      <c r="BF215" s="125"/>
      <c r="BG215" s="125"/>
      <c r="BH215" s="125"/>
      <c r="BI215" s="125"/>
      <c r="BJ215" s="125"/>
      <c r="BK215" s="125"/>
      <c r="BL215" s="125"/>
      <c r="BM215" s="125"/>
      <c r="BN215" s="125"/>
      <c r="BO215" s="125"/>
      <c r="BP215" s="125"/>
      <c r="BQ215" s="125"/>
      <c r="BR215" s="125"/>
      <c r="BS215" s="125"/>
      <c r="BT215" s="125"/>
      <c r="BU215" s="125"/>
      <c r="BV215" s="125"/>
      <c r="BW215" s="125"/>
      <c r="BX215" s="125"/>
      <c r="BY215" s="125"/>
      <c r="BZ215" s="125"/>
      <c r="CA215" s="125">
        <f t="shared" si="25"/>
        <v>29.574895386360083</v>
      </c>
    </row>
    <row r="216" spans="2:79" s="38" customFormat="1" ht="15.95" customHeight="1" x14ac:dyDescent="0.25">
      <c r="B216" s="98">
        <f t="shared" si="31"/>
        <v>4</v>
      </c>
      <c r="C216" s="125">
        <f>'Os juros sobre juros'!$E$46</f>
        <v>331.89250191718025</v>
      </c>
      <c r="D216" s="125">
        <f t="shared" ref="D216:D248" si="33">C216/POWER(1+$E$32,B216)</f>
        <v>293.05700516752637</v>
      </c>
      <c r="E216" s="125">
        <f t="shared" ref="E216:E248" si="34">C216-D216</f>
        <v>38.835496749653885</v>
      </c>
      <c r="F216" s="15">
        <f t="shared" si="23"/>
        <v>0.13251857510607373</v>
      </c>
      <c r="G216" s="125">
        <f t="shared" si="24"/>
        <v>293.05700516752637</v>
      </c>
      <c r="H216" s="125">
        <f t="shared" si="28"/>
        <v>9.2606013632938335</v>
      </c>
      <c r="I216" s="125">
        <f t="shared" ref="I216:I248" si="35">G216+H216</f>
        <v>302.31760653082023</v>
      </c>
      <c r="J216" s="125">
        <f t="shared" ref="J216" si="36">I216*$E$32</f>
        <v>9.5532363663739197</v>
      </c>
      <c r="K216" s="125">
        <f t="shared" ref="K216:K248" si="37">I216+J216</f>
        <v>311.87084289719417</v>
      </c>
      <c r="L216" s="125">
        <f t="shared" ref="L216:N231" si="38">K216*$E$32</f>
        <v>9.8551186355513369</v>
      </c>
      <c r="M216" s="125">
        <f t="shared" ref="M216:M248" si="39">K216+L216</f>
        <v>321.72596153274549</v>
      </c>
      <c r="N216" s="125">
        <f t="shared" si="38"/>
        <v>10.166540384434759</v>
      </c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  <c r="AY216" s="125"/>
      <c r="AZ216" s="125"/>
      <c r="BA216" s="125"/>
      <c r="BB216" s="125"/>
      <c r="BC216" s="125"/>
      <c r="BD216" s="125"/>
      <c r="BE216" s="125"/>
      <c r="BF216" s="125"/>
      <c r="BG216" s="125"/>
      <c r="BH216" s="125"/>
      <c r="BI216" s="125"/>
      <c r="BJ216" s="125"/>
      <c r="BK216" s="125"/>
      <c r="BL216" s="125"/>
      <c r="BM216" s="125"/>
      <c r="BN216" s="125"/>
      <c r="BO216" s="125"/>
      <c r="BP216" s="125"/>
      <c r="BQ216" s="125"/>
      <c r="BR216" s="125"/>
      <c r="BS216" s="125"/>
      <c r="BT216" s="125"/>
      <c r="BU216" s="125"/>
      <c r="BV216" s="125"/>
      <c r="BW216" s="125"/>
      <c r="BX216" s="125"/>
      <c r="BY216" s="125"/>
      <c r="BZ216" s="125"/>
      <c r="CA216" s="125">
        <f t="shared" si="25"/>
        <v>38.835496749653885</v>
      </c>
    </row>
    <row r="217" spans="2:79" s="38" customFormat="1" ht="15.95" customHeight="1" x14ac:dyDescent="0.25">
      <c r="B217" s="98">
        <f t="shared" si="31"/>
        <v>5</v>
      </c>
      <c r="C217" s="125">
        <f>'Os juros sobre juros'!$E$46</f>
        <v>331.89250191718025</v>
      </c>
      <c r="D217" s="125">
        <f t="shared" si="33"/>
        <v>284.08007480372851</v>
      </c>
      <c r="E217" s="125">
        <f t="shared" si="34"/>
        <v>47.812427113451747</v>
      </c>
      <c r="F217" s="15">
        <f t="shared" si="23"/>
        <v>0.16830616207942584</v>
      </c>
      <c r="G217" s="125">
        <f t="shared" si="24"/>
        <v>284.08007480372851</v>
      </c>
      <c r="H217" s="125">
        <f t="shared" si="28"/>
        <v>8.9769303637978215</v>
      </c>
      <c r="I217" s="125">
        <f t="shared" si="35"/>
        <v>293.05700516752631</v>
      </c>
      <c r="J217" s="125">
        <f t="shared" ref="J217" si="40">I217*$E$32</f>
        <v>9.2606013632938318</v>
      </c>
      <c r="K217" s="125">
        <f t="shared" si="37"/>
        <v>302.31760653082017</v>
      </c>
      <c r="L217" s="125">
        <f t="shared" ref="L217" si="41">K217*$E$32</f>
        <v>9.5532363663739179</v>
      </c>
      <c r="M217" s="125">
        <f t="shared" si="39"/>
        <v>311.87084289719411</v>
      </c>
      <c r="N217" s="125">
        <f t="shared" si="38"/>
        <v>9.8551186355513352</v>
      </c>
      <c r="O217" s="125">
        <f t="shared" ref="O217:O248" si="42">M217+N217</f>
        <v>321.72596153274543</v>
      </c>
      <c r="P217" s="125">
        <f t="shared" ref="P217" si="43">O217*$E$32</f>
        <v>10.166540384434757</v>
      </c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  <c r="AF217" s="125"/>
      <c r="AG217" s="125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  <c r="AY217" s="125"/>
      <c r="AZ217" s="125"/>
      <c r="BA217" s="125"/>
      <c r="BB217" s="125"/>
      <c r="BC217" s="125"/>
      <c r="BD217" s="125"/>
      <c r="BE217" s="125"/>
      <c r="BF217" s="125"/>
      <c r="BG217" s="125"/>
      <c r="BH217" s="125"/>
      <c r="BI217" s="125"/>
      <c r="BJ217" s="125"/>
      <c r="BK217" s="125"/>
      <c r="BL217" s="125"/>
      <c r="BM217" s="125"/>
      <c r="BN217" s="125"/>
      <c r="BO217" s="125"/>
      <c r="BP217" s="125"/>
      <c r="BQ217" s="125"/>
      <c r="BR217" s="125"/>
      <c r="BS217" s="125"/>
      <c r="BT217" s="125"/>
      <c r="BU217" s="125"/>
      <c r="BV217" s="125"/>
      <c r="BW217" s="125"/>
      <c r="BX217" s="125"/>
      <c r="BY217" s="125"/>
      <c r="BZ217" s="125"/>
      <c r="CA217" s="125">
        <f t="shared" si="25"/>
        <v>47.812427113451747</v>
      </c>
    </row>
    <row r="218" spans="2:79" s="38" customFormat="1" ht="15.95" customHeight="1" x14ac:dyDescent="0.25">
      <c r="B218" s="98">
        <f t="shared" si="31"/>
        <v>6</v>
      </c>
      <c r="C218" s="125">
        <f>'Os juros sobre juros'!$E$46</f>
        <v>331.89250191718025</v>
      </c>
      <c r="D218" s="125">
        <f t="shared" si="33"/>
        <v>275.37812602145067</v>
      </c>
      <c r="E218" s="125">
        <f t="shared" si="34"/>
        <v>56.514375895729586</v>
      </c>
      <c r="F218" s="15">
        <f t="shared" si="23"/>
        <v>0.20522463680113567</v>
      </c>
      <c r="G218" s="125">
        <f t="shared" si="24"/>
        <v>275.37812602145067</v>
      </c>
      <c r="H218" s="125">
        <f t="shared" si="28"/>
        <v>8.7019487822778423</v>
      </c>
      <c r="I218" s="125">
        <f t="shared" si="35"/>
        <v>284.08007480372851</v>
      </c>
      <c r="J218" s="125">
        <f t="shared" ref="J218" si="44">I218*$E$32</f>
        <v>8.9769303637978215</v>
      </c>
      <c r="K218" s="125">
        <f t="shared" si="37"/>
        <v>293.05700516752631</v>
      </c>
      <c r="L218" s="125">
        <f t="shared" ref="L218" si="45">K218*$E$32</f>
        <v>9.2606013632938318</v>
      </c>
      <c r="M218" s="125">
        <f t="shared" si="39"/>
        <v>302.31760653082017</v>
      </c>
      <c r="N218" s="125">
        <f t="shared" si="38"/>
        <v>9.5532363663739179</v>
      </c>
      <c r="O218" s="125">
        <f t="shared" si="42"/>
        <v>311.87084289719411</v>
      </c>
      <c r="P218" s="125">
        <f t="shared" ref="P218:R233" si="46">O218*$E$32</f>
        <v>9.8551186355513352</v>
      </c>
      <c r="Q218" s="125">
        <f t="shared" ref="Q218:Q248" si="47">O218+P218</f>
        <v>321.72596153274543</v>
      </c>
      <c r="R218" s="125">
        <f t="shared" si="46"/>
        <v>10.166540384434757</v>
      </c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  <c r="AY218" s="125"/>
      <c r="AZ218" s="125"/>
      <c r="BA218" s="125"/>
      <c r="BB218" s="125"/>
      <c r="BC218" s="125"/>
      <c r="BD218" s="125"/>
      <c r="BE218" s="125"/>
      <c r="BF218" s="125"/>
      <c r="BG218" s="125"/>
      <c r="BH218" s="125"/>
      <c r="BI218" s="125"/>
      <c r="BJ218" s="125"/>
      <c r="BK218" s="125"/>
      <c r="BL218" s="125"/>
      <c r="BM218" s="125"/>
      <c r="BN218" s="125"/>
      <c r="BO218" s="125"/>
      <c r="BP218" s="125"/>
      <c r="BQ218" s="125"/>
      <c r="BR218" s="125"/>
      <c r="BS218" s="125"/>
      <c r="BT218" s="125"/>
      <c r="BU218" s="125"/>
      <c r="BV218" s="125"/>
      <c r="BW218" s="125"/>
      <c r="BX218" s="125"/>
      <c r="BY218" s="125"/>
      <c r="BZ218" s="125"/>
      <c r="CA218" s="125">
        <f t="shared" si="25"/>
        <v>56.514375895729586</v>
      </c>
    </row>
    <row r="219" spans="2:79" s="38" customFormat="1" ht="15.95" customHeight="1" x14ac:dyDescent="0.25">
      <c r="B219" s="98">
        <f t="shared" si="31"/>
        <v>7</v>
      </c>
      <c r="C219" s="125">
        <f>'Os juros sobre juros'!$E$46</f>
        <v>331.89250191718025</v>
      </c>
      <c r="D219" s="125">
        <f t="shared" si="33"/>
        <v>266.94273557721073</v>
      </c>
      <c r="E219" s="125">
        <f t="shared" si="34"/>
        <v>64.949766339969528</v>
      </c>
      <c r="F219" s="15">
        <f t="shared" si="23"/>
        <v>0.24330973532405195</v>
      </c>
      <c r="G219" s="125">
        <f t="shared" si="24"/>
        <v>266.94273557721073</v>
      </c>
      <c r="H219" s="125">
        <f t="shared" si="28"/>
        <v>8.4353904442398591</v>
      </c>
      <c r="I219" s="125">
        <f t="shared" si="35"/>
        <v>275.37812602145061</v>
      </c>
      <c r="J219" s="125">
        <f t="shared" ref="J219" si="48">I219*$E$32</f>
        <v>8.7019487822778405</v>
      </c>
      <c r="K219" s="125">
        <f t="shared" si="37"/>
        <v>284.08007480372845</v>
      </c>
      <c r="L219" s="125">
        <f t="shared" ref="L219" si="49">K219*$E$32</f>
        <v>8.9769303637978197</v>
      </c>
      <c r="M219" s="125">
        <f t="shared" si="39"/>
        <v>293.05700516752626</v>
      </c>
      <c r="N219" s="125">
        <f t="shared" si="38"/>
        <v>9.26060136329383</v>
      </c>
      <c r="O219" s="125">
        <f t="shared" si="42"/>
        <v>302.31760653082006</v>
      </c>
      <c r="P219" s="125">
        <f t="shared" ref="P219" si="50">O219*$E$32</f>
        <v>9.5532363663739144</v>
      </c>
      <c r="Q219" s="125">
        <f t="shared" si="47"/>
        <v>311.870842897194</v>
      </c>
      <c r="R219" s="125">
        <f t="shared" si="46"/>
        <v>9.8551186355513316</v>
      </c>
      <c r="S219" s="125">
        <f t="shared" ref="S219:S248" si="51">Q219+R219</f>
        <v>321.72596153274532</v>
      </c>
      <c r="T219" s="125">
        <f t="shared" ref="T219" si="52">S219*$E$32</f>
        <v>10.166540384434754</v>
      </c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  <c r="AF219" s="125"/>
      <c r="AG219" s="125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  <c r="AY219" s="125"/>
      <c r="AZ219" s="125"/>
      <c r="BA219" s="125"/>
      <c r="BB219" s="125"/>
      <c r="BC219" s="125"/>
      <c r="BD219" s="125"/>
      <c r="BE219" s="125"/>
      <c r="BF219" s="125"/>
      <c r="BG219" s="125"/>
      <c r="BH219" s="125"/>
      <c r="BI219" s="125"/>
      <c r="BJ219" s="125"/>
      <c r="BK219" s="125"/>
      <c r="BL219" s="125"/>
      <c r="BM219" s="125"/>
      <c r="BN219" s="125"/>
      <c r="BO219" s="125"/>
      <c r="BP219" s="125"/>
      <c r="BQ219" s="125"/>
      <c r="BR219" s="125"/>
      <c r="BS219" s="125"/>
      <c r="BT219" s="125"/>
      <c r="BU219" s="125"/>
      <c r="BV219" s="125"/>
      <c r="BW219" s="125"/>
      <c r="BX219" s="125"/>
      <c r="BY219" s="125"/>
      <c r="BZ219" s="125"/>
      <c r="CA219" s="125">
        <f t="shared" si="25"/>
        <v>64.949766339969528</v>
      </c>
    </row>
    <row r="220" spans="2:79" s="38" customFormat="1" ht="15.95" customHeight="1" x14ac:dyDescent="0.25">
      <c r="B220" s="98">
        <f t="shared" si="31"/>
        <v>8</v>
      </c>
      <c r="C220" s="125">
        <f>'Os juros sobre juros'!$E$46</f>
        <v>331.89250191718025</v>
      </c>
      <c r="D220" s="125">
        <f t="shared" si="33"/>
        <v>258.76573824855637</v>
      </c>
      <c r="E220" s="125">
        <f t="shared" si="34"/>
        <v>73.12676366862388</v>
      </c>
      <c r="F220" s="15">
        <f t="shared" si="23"/>
        <v>0.28259832296029186</v>
      </c>
      <c r="G220" s="125">
        <f t="shared" si="24"/>
        <v>258.76573824855637</v>
      </c>
      <c r="H220" s="125">
        <f t="shared" si="28"/>
        <v>8.176997328654382</v>
      </c>
      <c r="I220" s="125">
        <f t="shared" si="35"/>
        <v>266.94273557721078</v>
      </c>
      <c r="J220" s="125">
        <f t="shared" ref="J220" si="53">I220*$E$32</f>
        <v>8.4353904442398608</v>
      </c>
      <c r="K220" s="125">
        <f t="shared" si="37"/>
        <v>275.37812602145067</v>
      </c>
      <c r="L220" s="125">
        <f t="shared" ref="L220" si="54">K220*$E$32</f>
        <v>8.7019487822778423</v>
      </c>
      <c r="M220" s="125">
        <f t="shared" si="39"/>
        <v>284.08007480372851</v>
      </c>
      <c r="N220" s="125">
        <f t="shared" si="38"/>
        <v>8.9769303637978215</v>
      </c>
      <c r="O220" s="125">
        <f t="shared" si="42"/>
        <v>293.05700516752631</v>
      </c>
      <c r="P220" s="125">
        <f t="shared" ref="P220" si="55">O220*$E$32</f>
        <v>9.2606013632938318</v>
      </c>
      <c r="Q220" s="125">
        <f t="shared" si="47"/>
        <v>302.31760653082017</v>
      </c>
      <c r="R220" s="125">
        <f t="shared" si="46"/>
        <v>9.5532363663739179</v>
      </c>
      <c r="S220" s="125">
        <f t="shared" si="51"/>
        <v>311.87084289719411</v>
      </c>
      <c r="T220" s="125">
        <f t="shared" ref="T220:V235" si="56">S220*$E$32</f>
        <v>9.8551186355513352</v>
      </c>
      <c r="U220" s="125">
        <f t="shared" ref="U220:U248" si="57">S220+T220</f>
        <v>321.72596153274543</v>
      </c>
      <c r="V220" s="125">
        <f t="shared" si="56"/>
        <v>10.166540384434757</v>
      </c>
      <c r="W220" s="125"/>
      <c r="X220" s="125"/>
      <c r="Y220" s="125"/>
      <c r="Z220" s="125"/>
      <c r="AA220" s="125"/>
      <c r="AB220" s="125"/>
      <c r="AC220" s="125"/>
      <c r="AD220" s="125"/>
      <c r="AE220" s="125"/>
      <c r="AF220" s="125"/>
      <c r="AG220" s="125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  <c r="AY220" s="125"/>
      <c r="AZ220" s="125"/>
      <c r="BA220" s="125"/>
      <c r="BB220" s="125"/>
      <c r="BC220" s="125"/>
      <c r="BD220" s="125"/>
      <c r="BE220" s="125"/>
      <c r="BF220" s="125"/>
      <c r="BG220" s="125"/>
      <c r="BH220" s="125"/>
      <c r="BI220" s="125"/>
      <c r="BJ220" s="125"/>
      <c r="BK220" s="125"/>
      <c r="BL220" s="125"/>
      <c r="BM220" s="125"/>
      <c r="BN220" s="125"/>
      <c r="BO220" s="125"/>
      <c r="BP220" s="125"/>
      <c r="BQ220" s="125"/>
      <c r="BR220" s="125"/>
      <c r="BS220" s="125"/>
      <c r="BT220" s="125"/>
      <c r="BU220" s="125"/>
      <c r="BV220" s="125"/>
      <c r="BW220" s="125"/>
      <c r="BX220" s="125"/>
      <c r="BY220" s="125"/>
      <c r="BZ220" s="125"/>
      <c r="CA220" s="125">
        <f t="shared" si="25"/>
        <v>73.12676366862388</v>
      </c>
    </row>
    <row r="221" spans="2:79" s="38" customFormat="1" ht="15.95" customHeight="1" x14ac:dyDescent="0.25">
      <c r="B221" s="98">
        <f t="shared" si="31"/>
        <v>9</v>
      </c>
      <c r="C221" s="125">
        <f>'Os juros sobre juros'!$E$46</f>
        <v>331.89250191718025</v>
      </c>
      <c r="D221" s="125">
        <f t="shared" si="33"/>
        <v>250.83921893035711</v>
      </c>
      <c r="E221" s="125">
        <f t="shared" si="34"/>
        <v>81.053282986823149</v>
      </c>
      <c r="F221" s="15">
        <f t="shared" si="23"/>
        <v>0.32312842996583702</v>
      </c>
      <c r="G221" s="125">
        <f t="shared" si="24"/>
        <v>250.83921893035711</v>
      </c>
      <c r="H221" s="125">
        <f t="shared" si="28"/>
        <v>7.9265193181992855</v>
      </c>
      <c r="I221" s="125">
        <f t="shared" si="35"/>
        <v>258.76573824855637</v>
      </c>
      <c r="J221" s="125">
        <f t="shared" ref="J221" si="58">I221*$E$32</f>
        <v>8.176997328654382</v>
      </c>
      <c r="K221" s="125">
        <f t="shared" si="37"/>
        <v>266.94273557721078</v>
      </c>
      <c r="L221" s="125">
        <f t="shared" ref="L221" si="59">K221*$E$32</f>
        <v>8.4353904442398608</v>
      </c>
      <c r="M221" s="125">
        <f t="shared" si="39"/>
        <v>275.37812602145067</v>
      </c>
      <c r="N221" s="125">
        <f t="shared" si="38"/>
        <v>8.7019487822778423</v>
      </c>
      <c r="O221" s="125">
        <f t="shared" si="42"/>
        <v>284.08007480372851</v>
      </c>
      <c r="P221" s="125">
        <f t="shared" ref="P221" si="60">O221*$E$32</f>
        <v>8.9769303637978215</v>
      </c>
      <c r="Q221" s="125">
        <f t="shared" si="47"/>
        <v>293.05700516752631</v>
      </c>
      <c r="R221" s="125">
        <f t="shared" si="46"/>
        <v>9.2606013632938318</v>
      </c>
      <c r="S221" s="125">
        <f t="shared" si="51"/>
        <v>302.31760653082017</v>
      </c>
      <c r="T221" s="125">
        <f t="shared" ref="T221" si="61">S221*$E$32</f>
        <v>9.5532363663739179</v>
      </c>
      <c r="U221" s="125">
        <f t="shared" si="57"/>
        <v>311.87084289719411</v>
      </c>
      <c r="V221" s="125">
        <f t="shared" si="56"/>
        <v>9.8551186355513352</v>
      </c>
      <c r="W221" s="125">
        <f t="shared" ref="W221:W248" si="62">U221+V221</f>
        <v>321.72596153274543</v>
      </c>
      <c r="X221" s="125">
        <f t="shared" ref="X221" si="63">W221*$E$32</f>
        <v>10.166540384434757</v>
      </c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5"/>
      <c r="BC221" s="125"/>
      <c r="BD221" s="125"/>
      <c r="BE221" s="125"/>
      <c r="BF221" s="125"/>
      <c r="BG221" s="125"/>
      <c r="BH221" s="125"/>
      <c r="BI221" s="125"/>
      <c r="BJ221" s="125"/>
      <c r="BK221" s="125"/>
      <c r="BL221" s="125"/>
      <c r="BM221" s="125"/>
      <c r="BN221" s="125"/>
      <c r="BO221" s="125"/>
      <c r="BP221" s="125"/>
      <c r="BQ221" s="125"/>
      <c r="BR221" s="125"/>
      <c r="BS221" s="125"/>
      <c r="BT221" s="125"/>
      <c r="BU221" s="125"/>
      <c r="BV221" s="125"/>
      <c r="BW221" s="125"/>
      <c r="BX221" s="125"/>
      <c r="BY221" s="125"/>
      <c r="BZ221" s="125"/>
      <c r="CA221" s="125">
        <f t="shared" si="25"/>
        <v>81.053282986823149</v>
      </c>
    </row>
    <row r="222" spans="2:79" s="38" customFormat="1" ht="15.95" customHeight="1" x14ac:dyDescent="0.25">
      <c r="B222" s="98">
        <f t="shared" si="31"/>
        <v>10</v>
      </c>
      <c r="C222" s="125">
        <f>'Os juros sobre juros'!$E$46</f>
        <v>331.89250191718025</v>
      </c>
      <c r="D222" s="125">
        <f t="shared" si="33"/>
        <v>243.15550497320385</v>
      </c>
      <c r="E222" s="125">
        <f t="shared" si="34"/>
        <v>88.736996943976408</v>
      </c>
      <c r="F222" s="15">
        <f t="shared" si="23"/>
        <v>0.36493928835275752</v>
      </c>
      <c r="G222" s="125">
        <f t="shared" si="24"/>
        <v>243.15550497320385</v>
      </c>
      <c r="H222" s="125">
        <f t="shared" si="28"/>
        <v>7.683713957153242</v>
      </c>
      <c r="I222" s="125">
        <f t="shared" si="35"/>
        <v>250.83921893035708</v>
      </c>
      <c r="J222" s="125">
        <f t="shared" ref="J222" si="64">I222*$E$32</f>
        <v>7.9265193181992846</v>
      </c>
      <c r="K222" s="125">
        <f t="shared" si="37"/>
        <v>258.76573824855637</v>
      </c>
      <c r="L222" s="125">
        <f t="shared" ref="L222" si="65">K222*$E$32</f>
        <v>8.176997328654382</v>
      </c>
      <c r="M222" s="125">
        <f t="shared" si="39"/>
        <v>266.94273557721078</v>
      </c>
      <c r="N222" s="125">
        <f t="shared" si="38"/>
        <v>8.4353904442398608</v>
      </c>
      <c r="O222" s="125">
        <f t="shared" si="42"/>
        <v>275.37812602145067</v>
      </c>
      <c r="P222" s="125">
        <f t="shared" ref="P222" si="66">O222*$E$32</f>
        <v>8.7019487822778423</v>
      </c>
      <c r="Q222" s="125">
        <f t="shared" si="47"/>
        <v>284.08007480372851</v>
      </c>
      <c r="R222" s="125">
        <f t="shared" si="46"/>
        <v>8.9769303637978215</v>
      </c>
      <c r="S222" s="125">
        <f t="shared" si="51"/>
        <v>293.05700516752631</v>
      </c>
      <c r="T222" s="125">
        <f t="shared" ref="T222" si="67">S222*$E$32</f>
        <v>9.2606013632938318</v>
      </c>
      <c r="U222" s="125">
        <f t="shared" si="57"/>
        <v>302.31760653082017</v>
      </c>
      <c r="V222" s="125">
        <f t="shared" si="56"/>
        <v>9.5532363663739179</v>
      </c>
      <c r="W222" s="125">
        <f t="shared" si="62"/>
        <v>311.87084289719411</v>
      </c>
      <c r="X222" s="125">
        <f t="shared" ref="X222:Z237" si="68">W222*$E$32</f>
        <v>9.8551186355513352</v>
      </c>
      <c r="Y222" s="125">
        <f t="shared" ref="Y222:Y248" si="69">W222+X222</f>
        <v>321.72596153274543</v>
      </c>
      <c r="Z222" s="125">
        <f t="shared" si="68"/>
        <v>10.166540384434757</v>
      </c>
      <c r="AA222" s="125"/>
      <c r="AB222" s="125"/>
      <c r="AC222" s="125"/>
      <c r="AD222" s="125"/>
      <c r="AE222" s="125"/>
      <c r="AF222" s="125"/>
      <c r="AG222" s="125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  <c r="AY222" s="125"/>
      <c r="AZ222" s="125"/>
      <c r="BA222" s="125"/>
      <c r="BB222" s="125"/>
      <c r="BC222" s="125"/>
      <c r="BD222" s="125"/>
      <c r="BE222" s="125"/>
      <c r="BF222" s="125"/>
      <c r="BG222" s="125"/>
      <c r="BH222" s="125"/>
      <c r="BI222" s="125"/>
      <c r="BJ222" s="125"/>
      <c r="BK222" s="125"/>
      <c r="BL222" s="125"/>
      <c r="BM222" s="125"/>
      <c r="BN222" s="125"/>
      <c r="BO222" s="125"/>
      <c r="BP222" s="125"/>
      <c r="BQ222" s="125"/>
      <c r="BR222" s="125"/>
      <c r="BS222" s="125"/>
      <c r="BT222" s="125"/>
      <c r="BU222" s="125"/>
      <c r="BV222" s="125"/>
      <c r="BW222" s="125"/>
      <c r="BX222" s="125"/>
      <c r="BY222" s="125"/>
      <c r="BZ222" s="125"/>
      <c r="CA222" s="125">
        <f t="shared" si="25"/>
        <v>88.736996943976408</v>
      </c>
    </row>
    <row r="223" spans="2:79" s="38" customFormat="1" ht="15.95" customHeight="1" x14ac:dyDescent="0.25">
      <c r="B223" s="98">
        <f t="shared" si="31"/>
        <v>11</v>
      </c>
      <c r="C223" s="125">
        <f>'Os juros sobre juros'!$E$46</f>
        <v>331.89250191718025</v>
      </c>
      <c r="D223" s="125">
        <f t="shared" si="33"/>
        <v>235.70715875649844</v>
      </c>
      <c r="E223" s="125">
        <f t="shared" si="34"/>
        <v>96.185343160681811</v>
      </c>
      <c r="F223" s="15">
        <f t="shared" si="23"/>
        <v>0.40807136986470499</v>
      </c>
      <c r="G223" s="125">
        <f t="shared" si="24"/>
        <v>235.70715875649844</v>
      </c>
      <c r="H223" s="125">
        <f t="shared" si="28"/>
        <v>7.4483462167053514</v>
      </c>
      <c r="I223" s="125">
        <f t="shared" si="35"/>
        <v>243.15550497320379</v>
      </c>
      <c r="J223" s="125">
        <f t="shared" ref="J223" si="70">I223*$E$32</f>
        <v>7.6837139571532402</v>
      </c>
      <c r="K223" s="125">
        <f t="shared" si="37"/>
        <v>250.83921893035702</v>
      </c>
      <c r="L223" s="125">
        <f t="shared" ref="L223" si="71">K223*$E$32</f>
        <v>7.9265193181992828</v>
      </c>
      <c r="M223" s="125">
        <f t="shared" si="39"/>
        <v>258.76573824855632</v>
      </c>
      <c r="N223" s="125">
        <f t="shared" si="38"/>
        <v>8.1769973286543802</v>
      </c>
      <c r="O223" s="125">
        <f t="shared" si="42"/>
        <v>266.94273557721067</v>
      </c>
      <c r="P223" s="125">
        <f t="shared" ref="P223" si="72">O223*$E$32</f>
        <v>8.4353904442398573</v>
      </c>
      <c r="Q223" s="125">
        <f t="shared" si="47"/>
        <v>275.3781260214505</v>
      </c>
      <c r="R223" s="125">
        <f t="shared" si="46"/>
        <v>8.701948782277837</v>
      </c>
      <c r="S223" s="125">
        <f t="shared" si="51"/>
        <v>284.08007480372834</v>
      </c>
      <c r="T223" s="125">
        <f t="shared" ref="T223" si="73">S223*$E$32</f>
        <v>8.9769303637978162</v>
      </c>
      <c r="U223" s="125">
        <f t="shared" si="57"/>
        <v>293.05700516752614</v>
      </c>
      <c r="V223" s="125">
        <f t="shared" si="56"/>
        <v>9.2606013632938264</v>
      </c>
      <c r="W223" s="125">
        <f t="shared" si="62"/>
        <v>302.31760653081994</v>
      </c>
      <c r="X223" s="125">
        <f t="shared" ref="X223" si="74">W223*$E$32</f>
        <v>9.5532363663739108</v>
      </c>
      <c r="Y223" s="125">
        <f t="shared" si="69"/>
        <v>311.87084289719388</v>
      </c>
      <c r="Z223" s="125">
        <f t="shared" si="68"/>
        <v>9.8551186355513281</v>
      </c>
      <c r="AA223" s="125">
        <f t="shared" ref="AA223:AA248" si="75">Y223+Z223</f>
        <v>321.7259615327452</v>
      </c>
      <c r="AB223" s="125">
        <f t="shared" ref="AB223" si="76">AA223*$E$32</f>
        <v>10.16654038443475</v>
      </c>
      <c r="AC223" s="125"/>
      <c r="AD223" s="125"/>
      <c r="AE223" s="125"/>
      <c r="AF223" s="125"/>
      <c r="AG223" s="125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  <c r="AY223" s="125"/>
      <c r="AZ223" s="125"/>
      <c r="BA223" s="125"/>
      <c r="BB223" s="125"/>
      <c r="BC223" s="125"/>
      <c r="BD223" s="125"/>
      <c r="BE223" s="125"/>
      <c r="BF223" s="125"/>
      <c r="BG223" s="125"/>
      <c r="BH223" s="125"/>
      <c r="BI223" s="125"/>
      <c r="BJ223" s="125"/>
      <c r="BK223" s="125"/>
      <c r="BL223" s="125"/>
      <c r="BM223" s="125"/>
      <c r="BN223" s="125"/>
      <c r="BO223" s="125"/>
      <c r="BP223" s="125"/>
      <c r="BQ223" s="125"/>
      <c r="BR223" s="125"/>
      <c r="BS223" s="125"/>
      <c r="BT223" s="125"/>
      <c r="BU223" s="125"/>
      <c r="BV223" s="125"/>
      <c r="BW223" s="125"/>
      <c r="BX223" s="125"/>
      <c r="BY223" s="125"/>
      <c r="BZ223" s="125"/>
      <c r="CA223" s="125">
        <f t="shared" si="25"/>
        <v>96.185343160681811</v>
      </c>
    </row>
    <row r="224" spans="2:79" s="38" customFormat="1" ht="15.95" customHeight="1" x14ac:dyDescent="0.25">
      <c r="B224" s="98">
        <f t="shared" si="31"/>
        <v>12</v>
      </c>
      <c r="C224" s="125">
        <f>'Os juros sobre juros'!$E$46</f>
        <v>331.89250191718025</v>
      </c>
      <c r="D224" s="125">
        <f t="shared" si="33"/>
        <v>228.48697048904467</v>
      </c>
      <c r="E224" s="125">
        <f t="shared" si="34"/>
        <v>103.40553142813559</v>
      </c>
      <c r="F224" s="15">
        <f t="shared" si="23"/>
        <v>0.45256642515242945</v>
      </c>
      <c r="G224" s="125">
        <f t="shared" si="24"/>
        <v>228.48697048904467</v>
      </c>
      <c r="H224" s="125">
        <f t="shared" si="28"/>
        <v>7.2201882674538123</v>
      </c>
      <c r="I224" s="125">
        <f t="shared" si="35"/>
        <v>235.70715875649847</v>
      </c>
      <c r="J224" s="125">
        <f t="shared" ref="J224" si="77">I224*$E$32</f>
        <v>7.4483462167053522</v>
      </c>
      <c r="K224" s="125">
        <f t="shared" si="37"/>
        <v>243.15550497320382</v>
      </c>
      <c r="L224" s="125">
        <f t="shared" ref="L224" si="78">K224*$E$32</f>
        <v>7.6837139571532411</v>
      </c>
      <c r="M224" s="125">
        <f t="shared" si="39"/>
        <v>250.83921893035705</v>
      </c>
      <c r="N224" s="125">
        <f t="shared" si="38"/>
        <v>7.9265193181992837</v>
      </c>
      <c r="O224" s="125">
        <f t="shared" si="42"/>
        <v>258.76573824855632</v>
      </c>
      <c r="P224" s="125">
        <f t="shared" ref="P224" si="79">O224*$E$32</f>
        <v>8.1769973286543802</v>
      </c>
      <c r="Q224" s="125">
        <f t="shared" si="47"/>
        <v>266.94273557721067</v>
      </c>
      <c r="R224" s="125">
        <f t="shared" si="46"/>
        <v>8.4353904442398573</v>
      </c>
      <c r="S224" s="125">
        <f t="shared" si="51"/>
        <v>275.3781260214505</v>
      </c>
      <c r="T224" s="125">
        <f t="shared" ref="T224" si="80">S224*$E$32</f>
        <v>8.701948782277837</v>
      </c>
      <c r="U224" s="125">
        <f t="shared" si="57"/>
        <v>284.08007480372834</v>
      </c>
      <c r="V224" s="125">
        <f t="shared" si="56"/>
        <v>8.9769303637978162</v>
      </c>
      <c r="W224" s="125">
        <f t="shared" si="62"/>
        <v>293.05700516752614</v>
      </c>
      <c r="X224" s="125">
        <f t="shared" ref="X224" si="81">W224*$E$32</f>
        <v>9.2606013632938264</v>
      </c>
      <c r="Y224" s="125">
        <f t="shared" si="69"/>
        <v>302.31760653081994</v>
      </c>
      <c r="Z224" s="125">
        <f t="shared" si="68"/>
        <v>9.5532363663739108</v>
      </c>
      <c r="AA224" s="125">
        <f t="shared" si="75"/>
        <v>311.87084289719388</v>
      </c>
      <c r="AB224" s="125">
        <f t="shared" ref="AB224:AD239" si="82">AA224*$E$32</f>
        <v>9.8551186355513281</v>
      </c>
      <c r="AC224" s="125">
        <f t="shared" ref="AC224:AC248" si="83">AA224+AB224</f>
        <v>321.7259615327452</v>
      </c>
      <c r="AD224" s="125">
        <f t="shared" si="82"/>
        <v>10.16654038443475</v>
      </c>
      <c r="AE224" s="125"/>
      <c r="AF224" s="125"/>
      <c r="AG224" s="125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  <c r="AY224" s="125"/>
      <c r="AZ224" s="125"/>
      <c r="BA224" s="125"/>
      <c r="BB224" s="125"/>
      <c r="BC224" s="125"/>
      <c r="BD224" s="125"/>
      <c r="BE224" s="125"/>
      <c r="BF224" s="125"/>
      <c r="BG224" s="125"/>
      <c r="BH224" s="125"/>
      <c r="BI224" s="125"/>
      <c r="BJ224" s="125"/>
      <c r="BK224" s="125"/>
      <c r="BL224" s="125"/>
      <c r="BM224" s="125"/>
      <c r="BN224" s="125"/>
      <c r="BO224" s="125"/>
      <c r="BP224" s="125"/>
      <c r="BQ224" s="125"/>
      <c r="BR224" s="125"/>
      <c r="BS224" s="125"/>
      <c r="BT224" s="125"/>
      <c r="BU224" s="125"/>
      <c r="BV224" s="125"/>
      <c r="BW224" s="125"/>
      <c r="BX224" s="125"/>
      <c r="BY224" s="125"/>
      <c r="BZ224" s="125"/>
      <c r="CA224" s="125">
        <f t="shared" si="25"/>
        <v>103.40553142813559</v>
      </c>
    </row>
    <row r="225" spans="2:79" s="38" customFormat="1" ht="15.95" customHeight="1" x14ac:dyDescent="0.25">
      <c r="B225" s="98">
        <f t="shared" si="31"/>
        <v>13</v>
      </c>
      <c r="C225" s="125">
        <f>'Os juros sobre juros'!$E$46</f>
        <v>331.89250191718025</v>
      </c>
      <c r="D225" s="125">
        <f t="shared" si="33"/>
        <v>221.48795123017123</v>
      </c>
      <c r="E225" s="125">
        <f t="shared" si="34"/>
        <v>110.40455068700902</v>
      </c>
      <c r="F225" s="15">
        <f t="shared" si="23"/>
        <v>0.49846752418724638</v>
      </c>
      <c r="G225" s="125">
        <f t="shared" si="24"/>
        <v>221.48795123017123</v>
      </c>
      <c r="H225" s="125">
        <f t="shared" si="28"/>
        <v>6.9990192588734113</v>
      </c>
      <c r="I225" s="125">
        <f t="shared" si="35"/>
        <v>228.48697048904464</v>
      </c>
      <c r="J225" s="125">
        <f t="shared" ref="J225" si="84">I225*$E$32</f>
        <v>7.2201882674538114</v>
      </c>
      <c r="K225" s="125">
        <f t="shared" si="37"/>
        <v>235.70715875649844</v>
      </c>
      <c r="L225" s="125">
        <f t="shared" ref="L225" si="85">K225*$E$32</f>
        <v>7.4483462167053514</v>
      </c>
      <c r="M225" s="125">
        <f t="shared" si="39"/>
        <v>243.15550497320379</v>
      </c>
      <c r="N225" s="125">
        <f t="shared" si="38"/>
        <v>7.6837139571532402</v>
      </c>
      <c r="O225" s="125">
        <f t="shared" si="42"/>
        <v>250.83921893035702</v>
      </c>
      <c r="P225" s="125">
        <f t="shared" ref="P225" si="86">O225*$E$32</f>
        <v>7.9265193181992828</v>
      </c>
      <c r="Q225" s="125">
        <f t="shared" si="47"/>
        <v>258.76573824855632</v>
      </c>
      <c r="R225" s="125">
        <f t="shared" si="46"/>
        <v>8.1769973286543802</v>
      </c>
      <c r="S225" s="125">
        <f t="shared" si="51"/>
        <v>266.94273557721067</v>
      </c>
      <c r="T225" s="125">
        <f t="shared" ref="T225" si="87">S225*$E$32</f>
        <v>8.4353904442398573</v>
      </c>
      <c r="U225" s="125">
        <f t="shared" si="57"/>
        <v>275.3781260214505</v>
      </c>
      <c r="V225" s="125">
        <f t="shared" si="56"/>
        <v>8.701948782277837</v>
      </c>
      <c r="W225" s="125">
        <f t="shared" si="62"/>
        <v>284.08007480372834</v>
      </c>
      <c r="X225" s="125">
        <f t="shared" ref="X225" si="88">W225*$E$32</f>
        <v>8.9769303637978162</v>
      </c>
      <c r="Y225" s="125">
        <f t="shared" si="69"/>
        <v>293.05700516752614</v>
      </c>
      <c r="Z225" s="125">
        <f t="shared" si="68"/>
        <v>9.2606013632938264</v>
      </c>
      <c r="AA225" s="125">
        <f t="shared" si="75"/>
        <v>302.31760653081994</v>
      </c>
      <c r="AB225" s="125">
        <f t="shared" ref="AB225" si="89">AA225*$E$32</f>
        <v>9.5532363663739108</v>
      </c>
      <c r="AC225" s="125">
        <f t="shared" si="83"/>
        <v>311.87084289719388</v>
      </c>
      <c r="AD225" s="125">
        <f t="shared" si="82"/>
        <v>9.8551186355513281</v>
      </c>
      <c r="AE225" s="125">
        <f t="shared" ref="AE225:AE248" si="90">AC225+AD225</f>
        <v>321.7259615327452</v>
      </c>
      <c r="AF225" s="125">
        <f t="shared" ref="AF225" si="91">AE225*$E$32</f>
        <v>10.16654038443475</v>
      </c>
      <c r="AG225" s="125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125"/>
      <c r="BD225" s="125"/>
      <c r="BE225" s="125"/>
      <c r="BF225" s="125"/>
      <c r="BG225" s="125"/>
      <c r="BH225" s="125"/>
      <c r="BI225" s="125"/>
      <c r="BJ225" s="125"/>
      <c r="BK225" s="125"/>
      <c r="BL225" s="125"/>
      <c r="BM225" s="125"/>
      <c r="BN225" s="125"/>
      <c r="BO225" s="125"/>
      <c r="BP225" s="125"/>
      <c r="BQ225" s="125"/>
      <c r="BR225" s="125"/>
      <c r="BS225" s="125"/>
      <c r="BT225" s="125"/>
      <c r="BU225" s="125"/>
      <c r="BV225" s="125"/>
      <c r="BW225" s="125"/>
      <c r="BX225" s="125"/>
      <c r="BY225" s="125"/>
      <c r="BZ225" s="125"/>
      <c r="CA225" s="125">
        <f t="shared" si="25"/>
        <v>110.40455068700902</v>
      </c>
    </row>
    <row r="226" spans="2:79" s="38" customFormat="1" ht="15.95" customHeight="1" x14ac:dyDescent="0.25">
      <c r="B226" s="98">
        <f t="shared" si="31"/>
        <v>14</v>
      </c>
      <c r="C226" s="125">
        <f>'Os juros sobre juros'!$E$46</f>
        <v>331.89250191718025</v>
      </c>
      <c r="D226" s="125">
        <f t="shared" si="33"/>
        <v>214.70332612463284</v>
      </c>
      <c r="E226" s="125">
        <f t="shared" si="34"/>
        <v>117.18917579254742</v>
      </c>
      <c r="F226" s="15">
        <f t="shared" si="23"/>
        <v>0.54581909795156336</v>
      </c>
      <c r="G226" s="125">
        <f t="shared" si="24"/>
        <v>214.70332612463284</v>
      </c>
      <c r="H226" s="125">
        <f t="shared" si="28"/>
        <v>6.7846251055383986</v>
      </c>
      <c r="I226" s="125">
        <f t="shared" si="35"/>
        <v>221.48795123017123</v>
      </c>
      <c r="J226" s="125">
        <f t="shared" ref="J226" si="92">I226*$E$32</f>
        <v>6.9990192588734113</v>
      </c>
      <c r="K226" s="125">
        <f t="shared" si="37"/>
        <v>228.48697048904464</v>
      </c>
      <c r="L226" s="125">
        <f t="shared" ref="L226" si="93">K226*$E$32</f>
        <v>7.2201882674538114</v>
      </c>
      <c r="M226" s="125">
        <f t="shared" si="39"/>
        <v>235.70715875649844</v>
      </c>
      <c r="N226" s="125">
        <f t="shared" si="38"/>
        <v>7.4483462167053514</v>
      </c>
      <c r="O226" s="125">
        <f t="shared" si="42"/>
        <v>243.15550497320379</v>
      </c>
      <c r="P226" s="125">
        <f t="shared" ref="P226" si="94">O226*$E$32</f>
        <v>7.6837139571532402</v>
      </c>
      <c r="Q226" s="125">
        <f t="shared" si="47"/>
        <v>250.83921893035702</v>
      </c>
      <c r="R226" s="125">
        <f t="shared" si="46"/>
        <v>7.9265193181992828</v>
      </c>
      <c r="S226" s="125">
        <f t="shared" si="51"/>
        <v>258.76573824855632</v>
      </c>
      <c r="T226" s="125">
        <f t="shared" ref="T226" si="95">S226*$E$32</f>
        <v>8.1769973286543802</v>
      </c>
      <c r="U226" s="125">
        <f t="shared" si="57"/>
        <v>266.94273557721067</v>
      </c>
      <c r="V226" s="125">
        <f t="shared" si="56"/>
        <v>8.4353904442398573</v>
      </c>
      <c r="W226" s="125">
        <f t="shared" si="62"/>
        <v>275.3781260214505</v>
      </c>
      <c r="X226" s="125">
        <f t="shared" ref="X226" si="96">W226*$E$32</f>
        <v>8.701948782277837</v>
      </c>
      <c r="Y226" s="125">
        <f t="shared" si="69"/>
        <v>284.08007480372834</v>
      </c>
      <c r="Z226" s="125">
        <f t="shared" si="68"/>
        <v>8.9769303637978162</v>
      </c>
      <c r="AA226" s="125">
        <f t="shared" si="75"/>
        <v>293.05700516752614</v>
      </c>
      <c r="AB226" s="125">
        <f t="shared" ref="AB226" si="97">AA226*$E$32</f>
        <v>9.2606013632938264</v>
      </c>
      <c r="AC226" s="125">
        <f t="shared" si="83"/>
        <v>302.31760653081994</v>
      </c>
      <c r="AD226" s="125">
        <f t="shared" si="82"/>
        <v>9.5532363663739108</v>
      </c>
      <c r="AE226" s="125">
        <f t="shared" si="90"/>
        <v>311.87084289719388</v>
      </c>
      <c r="AF226" s="125">
        <f t="shared" ref="AF226:AH241" si="98">AE226*$E$32</f>
        <v>9.8551186355513281</v>
      </c>
      <c r="AG226" s="125">
        <f t="shared" ref="AG226:AG248" si="99">AE226+AF226</f>
        <v>321.7259615327452</v>
      </c>
      <c r="AH226" s="125">
        <f t="shared" si="98"/>
        <v>10.16654038443475</v>
      </c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  <c r="AY226" s="125"/>
      <c r="AZ226" s="125"/>
      <c r="BA226" s="125"/>
      <c r="BB226" s="125"/>
      <c r="BC226" s="125"/>
      <c r="BD226" s="125"/>
      <c r="BE226" s="125"/>
      <c r="BF226" s="125"/>
      <c r="BG226" s="125"/>
      <c r="BH226" s="125"/>
      <c r="BI226" s="125"/>
      <c r="BJ226" s="125"/>
      <c r="BK226" s="125"/>
      <c r="BL226" s="125"/>
      <c r="BM226" s="125"/>
      <c r="BN226" s="125"/>
      <c r="BO226" s="125"/>
      <c r="BP226" s="125"/>
      <c r="BQ226" s="125"/>
      <c r="BR226" s="125"/>
      <c r="BS226" s="125"/>
      <c r="BT226" s="125"/>
      <c r="BU226" s="125"/>
      <c r="BV226" s="125"/>
      <c r="BW226" s="125"/>
      <c r="BX226" s="125"/>
      <c r="BY226" s="125"/>
      <c r="BZ226" s="125"/>
      <c r="CA226" s="125">
        <f t="shared" si="25"/>
        <v>117.18917579254742</v>
      </c>
    </row>
    <row r="227" spans="2:79" s="38" customFormat="1" ht="15.95" customHeight="1" x14ac:dyDescent="0.25">
      <c r="B227" s="98">
        <f t="shared" si="31"/>
        <v>15</v>
      </c>
      <c r="C227" s="125">
        <f>'Os juros sobre juros'!$E$46</f>
        <v>331.89250191718025</v>
      </c>
      <c r="D227" s="125">
        <f t="shared" si="33"/>
        <v>208.12652784473903</v>
      </c>
      <c r="E227" s="125">
        <f t="shared" si="34"/>
        <v>123.76597407244122</v>
      </c>
      <c r="F227" s="15">
        <f t="shared" si="23"/>
        <v>0.59466698144683316</v>
      </c>
      <c r="G227" s="125">
        <f t="shared" si="24"/>
        <v>208.12652784473903</v>
      </c>
      <c r="H227" s="125">
        <f t="shared" si="28"/>
        <v>6.5767982798937537</v>
      </c>
      <c r="I227" s="125">
        <f t="shared" si="35"/>
        <v>214.70332612463278</v>
      </c>
      <c r="J227" s="125">
        <f t="shared" ref="J227" si="100">I227*$E$32</f>
        <v>6.7846251055383968</v>
      </c>
      <c r="K227" s="125">
        <f t="shared" si="37"/>
        <v>221.48795123017118</v>
      </c>
      <c r="L227" s="125">
        <f t="shared" ref="L227" si="101">K227*$E$32</f>
        <v>6.9990192588734095</v>
      </c>
      <c r="M227" s="125">
        <f t="shared" si="39"/>
        <v>228.48697048904458</v>
      </c>
      <c r="N227" s="125">
        <f t="shared" si="38"/>
        <v>7.2201882674538096</v>
      </c>
      <c r="O227" s="125">
        <f t="shared" si="42"/>
        <v>235.70715875649839</v>
      </c>
      <c r="P227" s="125">
        <f t="shared" ref="P227" si="102">O227*$E$32</f>
        <v>7.4483462167053496</v>
      </c>
      <c r="Q227" s="125">
        <f t="shared" si="47"/>
        <v>243.15550497320373</v>
      </c>
      <c r="R227" s="125">
        <f t="shared" si="46"/>
        <v>7.6837139571532385</v>
      </c>
      <c r="S227" s="125">
        <f t="shared" si="51"/>
        <v>250.83921893035696</v>
      </c>
      <c r="T227" s="125">
        <f t="shared" ref="T227" si="103">S227*$E$32</f>
        <v>7.926519318199281</v>
      </c>
      <c r="U227" s="125">
        <f t="shared" si="57"/>
        <v>258.76573824855626</v>
      </c>
      <c r="V227" s="125">
        <f t="shared" si="56"/>
        <v>8.1769973286543784</v>
      </c>
      <c r="W227" s="125">
        <f t="shared" si="62"/>
        <v>266.94273557721061</v>
      </c>
      <c r="X227" s="125">
        <f t="shared" ref="X227" si="104">W227*$E$32</f>
        <v>8.4353904442398555</v>
      </c>
      <c r="Y227" s="125">
        <f t="shared" si="69"/>
        <v>275.37812602145044</v>
      </c>
      <c r="Z227" s="125">
        <f t="shared" si="68"/>
        <v>8.7019487822778352</v>
      </c>
      <c r="AA227" s="125">
        <f t="shared" si="75"/>
        <v>284.08007480372828</v>
      </c>
      <c r="AB227" s="125">
        <f t="shared" ref="AB227" si="105">AA227*$E$32</f>
        <v>8.9769303637978144</v>
      </c>
      <c r="AC227" s="125">
        <f t="shared" si="83"/>
        <v>293.05700516752609</v>
      </c>
      <c r="AD227" s="125">
        <f t="shared" si="82"/>
        <v>9.2606013632938247</v>
      </c>
      <c r="AE227" s="125">
        <f t="shared" si="90"/>
        <v>302.31760653081989</v>
      </c>
      <c r="AF227" s="125">
        <f t="shared" ref="AF227" si="106">AE227*$E$32</f>
        <v>9.553236366373909</v>
      </c>
      <c r="AG227" s="125">
        <f t="shared" si="99"/>
        <v>311.87084289719382</v>
      </c>
      <c r="AH227" s="125">
        <f t="shared" si="98"/>
        <v>9.8551186355513263</v>
      </c>
      <c r="AI227" s="125">
        <f t="shared" ref="AI227:AI248" si="107">AG227+AH227</f>
        <v>321.72596153274515</v>
      </c>
      <c r="AJ227" s="125">
        <f t="shared" ref="AJ227" si="108">AI227*$E$32</f>
        <v>10.166540384434748</v>
      </c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125"/>
      <c r="BF227" s="125"/>
      <c r="BG227" s="125"/>
      <c r="BH227" s="125"/>
      <c r="BI227" s="125"/>
      <c r="BJ227" s="125"/>
      <c r="BK227" s="125"/>
      <c r="BL227" s="125"/>
      <c r="BM227" s="125"/>
      <c r="BN227" s="125"/>
      <c r="BO227" s="125"/>
      <c r="BP227" s="125"/>
      <c r="BQ227" s="125"/>
      <c r="BR227" s="125"/>
      <c r="BS227" s="125"/>
      <c r="BT227" s="125"/>
      <c r="BU227" s="125"/>
      <c r="BV227" s="125"/>
      <c r="BW227" s="125"/>
      <c r="BX227" s="125"/>
      <c r="BY227" s="125"/>
      <c r="BZ227" s="125"/>
      <c r="CA227" s="125">
        <f t="shared" si="25"/>
        <v>123.76597407244122</v>
      </c>
    </row>
    <row r="228" spans="2:79" s="38" customFormat="1" ht="15.95" customHeight="1" x14ac:dyDescent="0.25">
      <c r="B228" s="98">
        <f t="shared" si="31"/>
        <v>16</v>
      </c>
      <c r="C228" s="125">
        <f>'Os juros sobre juros'!$E$46</f>
        <v>331.89250191718025</v>
      </c>
      <c r="D228" s="125">
        <f t="shared" si="33"/>
        <v>201.75119023336472</v>
      </c>
      <c r="E228" s="125">
        <f t="shared" si="34"/>
        <v>130.14131168381553</v>
      </c>
      <c r="F228" s="15">
        <f t="shared" si="23"/>
        <v>0.64505845806055295</v>
      </c>
      <c r="G228" s="125">
        <f t="shared" si="24"/>
        <v>201.75119023336472</v>
      </c>
      <c r="H228" s="125">
        <f t="shared" si="28"/>
        <v>6.3753376113743263</v>
      </c>
      <c r="I228" s="125">
        <f t="shared" si="35"/>
        <v>208.12652784473906</v>
      </c>
      <c r="J228" s="125">
        <f t="shared" ref="J228" si="109">I228*$E$32</f>
        <v>6.5767982798937545</v>
      </c>
      <c r="K228" s="125">
        <f t="shared" si="37"/>
        <v>214.70332612463281</v>
      </c>
      <c r="L228" s="125">
        <f t="shared" ref="L228" si="110">K228*$E$32</f>
        <v>6.7846251055383977</v>
      </c>
      <c r="M228" s="125">
        <f t="shared" si="39"/>
        <v>221.48795123017121</v>
      </c>
      <c r="N228" s="125">
        <f t="shared" si="38"/>
        <v>6.9990192588734104</v>
      </c>
      <c r="O228" s="125">
        <f t="shared" si="42"/>
        <v>228.48697048904461</v>
      </c>
      <c r="P228" s="125">
        <f t="shared" ref="P228" si="111">O228*$E$32</f>
        <v>7.2201882674538105</v>
      </c>
      <c r="Q228" s="125">
        <f t="shared" si="47"/>
        <v>235.70715875649842</v>
      </c>
      <c r="R228" s="125">
        <f t="shared" si="46"/>
        <v>7.4483462167053505</v>
      </c>
      <c r="S228" s="125">
        <f t="shared" si="51"/>
        <v>243.15550497320376</v>
      </c>
      <c r="T228" s="125">
        <f t="shared" ref="T228" si="112">S228*$E$32</f>
        <v>7.6837139571532393</v>
      </c>
      <c r="U228" s="125">
        <f t="shared" si="57"/>
        <v>250.83921893035699</v>
      </c>
      <c r="V228" s="125">
        <f t="shared" si="56"/>
        <v>7.9265193181992819</v>
      </c>
      <c r="W228" s="125">
        <f t="shared" si="62"/>
        <v>258.76573824855626</v>
      </c>
      <c r="X228" s="125">
        <f t="shared" ref="X228" si="113">W228*$E$32</f>
        <v>8.1769973286543784</v>
      </c>
      <c r="Y228" s="125">
        <f t="shared" si="69"/>
        <v>266.94273557721061</v>
      </c>
      <c r="Z228" s="125">
        <f t="shared" si="68"/>
        <v>8.4353904442398555</v>
      </c>
      <c r="AA228" s="125">
        <f t="shared" si="75"/>
        <v>275.37812602145044</v>
      </c>
      <c r="AB228" s="125">
        <f t="shared" ref="AB228" si="114">AA228*$E$32</f>
        <v>8.7019487822778352</v>
      </c>
      <c r="AC228" s="125">
        <f t="shared" si="83"/>
        <v>284.08007480372828</v>
      </c>
      <c r="AD228" s="125">
        <f t="shared" si="82"/>
        <v>8.9769303637978144</v>
      </c>
      <c r="AE228" s="125">
        <f t="shared" si="90"/>
        <v>293.05700516752609</v>
      </c>
      <c r="AF228" s="125">
        <f t="shared" ref="AF228" si="115">AE228*$E$32</f>
        <v>9.2606013632938247</v>
      </c>
      <c r="AG228" s="125">
        <f t="shared" si="99"/>
        <v>302.31760653081989</v>
      </c>
      <c r="AH228" s="125">
        <f t="shared" si="98"/>
        <v>9.553236366373909</v>
      </c>
      <c r="AI228" s="125">
        <f t="shared" si="107"/>
        <v>311.87084289719382</v>
      </c>
      <c r="AJ228" s="125">
        <f t="shared" ref="AJ228:AL243" si="116">AI228*$E$32</f>
        <v>9.8551186355513263</v>
      </c>
      <c r="AK228" s="125">
        <f t="shared" ref="AK228:AK248" si="117">AI228+AJ228</f>
        <v>321.72596153274515</v>
      </c>
      <c r="AL228" s="125">
        <f t="shared" si="116"/>
        <v>10.166540384434748</v>
      </c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  <c r="BF228" s="125"/>
      <c r="BG228" s="125"/>
      <c r="BH228" s="125"/>
      <c r="BI228" s="125"/>
      <c r="BJ228" s="125"/>
      <c r="BK228" s="125"/>
      <c r="BL228" s="125"/>
      <c r="BM228" s="125"/>
      <c r="BN228" s="125"/>
      <c r="BO228" s="125"/>
      <c r="BP228" s="125"/>
      <c r="BQ228" s="125"/>
      <c r="BR228" s="125"/>
      <c r="BS228" s="125"/>
      <c r="BT228" s="125"/>
      <c r="BU228" s="125"/>
      <c r="BV228" s="125"/>
      <c r="BW228" s="125"/>
      <c r="BX228" s="125"/>
      <c r="BY228" s="125"/>
      <c r="BZ228" s="125"/>
      <c r="CA228" s="125">
        <f t="shared" si="25"/>
        <v>130.14131168381553</v>
      </c>
    </row>
    <row r="229" spans="2:79" s="38" customFormat="1" ht="15.95" customHeight="1" x14ac:dyDescent="0.25">
      <c r="B229" s="98">
        <f t="shared" si="31"/>
        <v>17</v>
      </c>
      <c r="C229" s="125">
        <f>'Os juros sobre juros'!$E$46</f>
        <v>331.89250191718025</v>
      </c>
      <c r="D229" s="125">
        <f t="shared" si="33"/>
        <v>195.57114214168737</v>
      </c>
      <c r="E229" s="125">
        <f t="shared" si="34"/>
        <v>136.32135977549288</v>
      </c>
      <c r="F229" s="15">
        <f t="shared" si="23"/>
        <v>0.69704230533526657</v>
      </c>
      <c r="G229" s="125">
        <f t="shared" si="24"/>
        <v>195.57114214168737</v>
      </c>
      <c r="H229" s="125">
        <f t="shared" si="28"/>
        <v>6.1800480916773219</v>
      </c>
      <c r="I229" s="125">
        <f t="shared" si="35"/>
        <v>201.7511902333647</v>
      </c>
      <c r="J229" s="125">
        <f t="shared" ref="J229" si="118">I229*$E$32</f>
        <v>6.3753376113743254</v>
      </c>
      <c r="K229" s="125">
        <f t="shared" si="37"/>
        <v>208.12652784473903</v>
      </c>
      <c r="L229" s="125">
        <f t="shared" ref="L229" si="119">K229*$E$32</f>
        <v>6.5767982798937537</v>
      </c>
      <c r="M229" s="125">
        <f t="shared" si="39"/>
        <v>214.70332612463278</v>
      </c>
      <c r="N229" s="125">
        <f t="shared" si="38"/>
        <v>6.7846251055383968</v>
      </c>
      <c r="O229" s="125">
        <f t="shared" si="42"/>
        <v>221.48795123017118</v>
      </c>
      <c r="P229" s="125">
        <f t="shared" ref="P229" si="120">O229*$E$32</f>
        <v>6.9990192588734095</v>
      </c>
      <c r="Q229" s="125">
        <f t="shared" si="47"/>
        <v>228.48697048904458</v>
      </c>
      <c r="R229" s="125">
        <f t="shared" si="46"/>
        <v>7.2201882674538096</v>
      </c>
      <c r="S229" s="125">
        <f t="shared" si="51"/>
        <v>235.70715875649839</v>
      </c>
      <c r="T229" s="125">
        <f t="shared" ref="T229" si="121">S229*$E$32</f>
        <v>7.4483462167053496</v>
      </c>
      <c r="U229" s="125">
        <f t="shared" si="57"/>
        <v>243.15550497320373</v>
      </c>
      <c r="V229" s="125">
        <f t="shared" si="56"/>
        <v>7.6837139571532385</v>
      </c>
      <c r="W229" s="125">
        <f t="shared" si="62"/>
        <v>250.83921893035696</v>
      </c>
      <c r="X229" s="125">
        <f t="shared" ref="X229" si="122">W229*$E$32</f>
        <v>7.926519318199281</v>
      </c>
      <c r="Y229" s="125">
        <f t="shared" si="69"/>
        <v>258.76573824855626</v>
      </c>
      <c r="Z229" s="125">
        <f t="shared" si="68"/>
        <v>8.1769973286543784</v>
      </c>
      <c r="AA229" s="125">
        <f t="shared" si="75"/>
        <v>266.94273557721061</v>
      </c>
      <c r="AB229" s="125">
        <f t="shared" ref="AB229" si="123">AA229*$E$32</f>
        <v>8.4353904442398555</v>
      </c>
      <c r="AC229" s="125">
        <f t="shared" si="83"/>
        <v>275.37812602145044</v>
      </c>
      <c r="AD229" s="125">
        <f t="shared" si="82"/>
        <v>8.7019487822778352</v>
      </c>
      <c r="AE229" s="125">
        <f t="shared" si="90"/>
        <v>284.08007480372828</v>
      </c>
      <c r="AF229" s="125">
        <f t="shared" ref="AF229" si="124">AE229*$E$32</f>
        <v>8.9769303637978144</v>
      </c>
      <c r="AG229" s="125">
        <f t="shared" si="99"/>
        <v>293.05700516752609</v>
      </c>
      <c r="AH229" s="125">
        <f t="shared" si="98"/>
        <v>9.2606013632938247</v>
      </c>
      <c r="AI229" s="125">
        <f t="shared" si="107"/>
        <v>302.31760653081989</v>
      </c>
      <c r="AJ229" s="125">
        <f t="shared" ref="AJ229" si="125">AI229*$E$32</f>
        <v>9.553236366373909</v>
      </c>
      <c r="AK229" s="125">
        <f t="shared" si="117"/>
        <v>311.87084289719382</v>
      </c>
      <c r="AL229" s="125">
        <f t="shared" si="116"/>
        <v>9.8551186355513263</v>
      </c>
      <c r="AM229" s="125">
        <f t="shared" ref="AM229:AM248" si="126">AK229+AL229</f>
        <v>321.72596153274515</v>
      </c>
      <c r="AN229" s="125">
        <f t="shared" ref="AN229" si="127">AM229*$E$32</f>
        <v>10.166540384434748</v>
      </c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  <c r="BF229" s="125"/>
      <c r="BG229" s="125"/>
      <c r="BH229" s="125"/>
      <c r="BI229" s="125"/>
      <c r="BJ229" s="125"/>
      <c r="BK229" s="125"/>
      <c r="BL229" s="125"/>
      <c r="BM229" s="125"/>
      <c r="BN229" s="125"/>
      <c r="BO229" s="125"/>
      <c r="BP229" s="125"/>
      <c r="BQ229" s="125"/>
      <c r="BR229" s="125"/>
      <c r="BS229" s="125"/>
      <c r="BT229" s="125"/>
      <c r="BU229" s="125"/>
      <c r="BV229" s="125"/>
      <c r="BW229" s="125"/>
      <c r="BX229" s="125"/>
      <c r="BY229" s="125"/>
      <c r="BZ229" s="125"/>
      <c r="CA229" s="125">
        <f t="shared" si="25"/>
        <v>136.32135977549288</v>
      </c>
    </row>
    <row r="230" spans="2:79" s="38" customFormat="1" ht="15.95" customHeight="1" x14ac:dyDescent="0.25">
      <c r="B230" s="98">
        <f t="shared" si="31"/>
        <v>18</v>
      </c>
      <c r="C230" s="125">
        <f>'Os juros sobre juros'!$E$46</f>
        <v>331.89250191718025</v>
      </c>
      <c r="D230" s="125">
        <f t="shared" si="33"/>
        <v>189.58040145568765</v>
      </c>
      <c r="E230" s="125">
        <f t="shared" si="34"/>
        <v>142.31210046149261</v>
      </c>
      <c r="F230" s="15">
        <f t="shared" si="23"/>
        <v>0.75066884218386098</v>
      </c>
      <c r="G230" s="125">
        <f t="shared" si="24"/>
        <v>189.58040145568765</v>
      </c>
      <c r="H230" s="125">
        <f t="shared" si="28"/>
        <v>5.9907406859997305</v>
      </c>
      <c r="I230" s="125">
        <f t="shared" si="35"/>
        <v>195.57114214168737</v>
      </c>
      <c r="J230" s="125">
        <f t="shared" ref="J230" si="128">I230*$E$32</f>
        <v>6.1800480916773219</v>
      </c>
      <c r="K230" s="125">
        <f t="shared" si="37"/>
        <v>201.7511902333647</v>
      </c>
      <c r="L230" s="125">
        <f t="shared" ref="L230" si="129">K230*$E$32</f>
        <v>6.3753376113743254</v>
      </c>
      <c r="M230" s="125">
        <f t="shared" si="39"/>
        <v>208.12652784473903</v>
      </c>
      <c r="N230" s="125">
        <f t="shared" si="38"/>
        <v>6.5767982798937537</v>
      </c>
      <c r="O230" s="125">
        <f t="shared" si="42"/>
        <v>214.70332612463278</v>
      </c>
      <c r="P230" s="125">
        <f t="shared" ref="P230" si="130">O230*$E$32</f>
        <v>6.7846251055383968</v>
      </c>
      <c r="Q230" s="125">
        <f t="shared" si="47"/>
        <v>221.48795123017118</v>
      </c>
      <c r="R230" s="125">
        <f t="shared" si="46"/>
        <v>6.9990192588734095</v>
      </c>
      <c r="S230" s="125">
        <f t="shared" si="51"/>
        <v>228.48697048904458</v>
      </c>
      <c r="T230" s="125">
        <f t="shared" ref="T230" si="131">S230*$E$32</f>
        <v>7.2201882674538096</v>
      </c>
      <c r="U230" s="125">
        <f t="shared" si="57"/>
        <v>235.70715875649839</v>
      </c>
      <c r="V230" s="125">
        <f t="shared" si="56"/>
        <v>7.4483462167053496</v>
      </c>
      <c r="W230" s="125">
        <f t="shared" si="62"/>
        <v>243.15550497320373</v>
      </c>
      <c r="X230" s="125">
        <f t="shared" ref="X230" si="132">W230*$E$32</f>
        <v>7.6837139571532385</v>
      </c>
      <c r="Y230" s="125">
        <f t="shared" si="69"/>
        <v>250.83921893035696</v>
      </c>
      <c r="Z230" s="125">
        <f t="shared" si="68"/>
        <v>7.926519318199281</v>
      </c>
      <c r="AA230" s="125">
        <f t="shared" si="75"/>
        <v>258.76573824855626</v>
      </c>
      <c r="AB230" s="125">
        <f t="shared" ref="AB230" si="133">AA230*$E$32</f>
        <v>8.1769973286543784</v>
      </c>
      <c r="AC230" s="125">
        <f t="shared" si="83"/>
        <v>266.94273557721061</v>
      </c>
      <c r="AD230" s="125">
        <f t="shared" si="82"/>
        <v>8.4353904442398555</v>
      </c>
      <c r="AE230" s="125">
        <f t="shared" si="90"/>
        <v>275.37812602145044</v>
      </c>
      <c r="AF230" s="125">
        <f t="shared" ref="AF230" si="134">AE230*$E$32</f>
        <v>8.7019487822778352</v>
      </c>
      <c r="AG230" s="125">
        <f t="shared" si="99"/>
        <v>284.08007480372828</v>
      </c>
      <c r="AH230" s="125">
        <f t="shared" si="98"/>
        <v>8.9769303637978144</v>
      </c>
      <c r="AI230" s="125">
        <f t="shared" si="107"/>
        <v>293.05700516752609</v>
      </c>
      <c r="AJ230" s="125">
        <f t="shared" ref="AJ230" si="135">AI230*$E$32</f>
        <v>9.2606013632938247</v>
      </c>
      <c r="AK230" s="125">
        <f t="shared" si="117"/>
        <v>302.31760653081989</v>
      </c>
      <c r="AL230" s="125">
        <f t="shared" si="116"/>
        <v>9.553236366373909</v>
      </c>
      <c r="AM230" s="125">
        <f t="shared" si="126"/>
        <v>311.87084289719382</v>
      </c>
      <c r="AN230" s="125">
        <f t="shared" ref="AN230:AP245" si="136">AM230*$E$32</f>
        <v>9.8551186355513263</v>
      </c>
      <c r="AO230" s="125">
        <f t="shared" ref="AO230:AO248" si="137">AM230+AN230</f>
        <v>321.72596153274515</v>
      </c>
      <c r="AP230" s="125">
        <f t="shared" si="136"/>
        <v>10.166540384434748</v>
      </c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  <c r="BE230" s="125"/>
      <c r="BF230" s="125"/>
      <c r="BG230" s="125"/>
      <c r="BH230" s="125"/>
      <c r="BI230" s="125"/>
      <c r="BJ230" s="125"/>
      <c r="BK230" s="125"/>
      <c r="BL230" s="125"/>
      <c r="BM230" s="125"/>
      <c r="BN230" s="125"/>
      <c r="BO230" s="125"/>
      <c r="BP230" s="125"/>
      <c r="BQ230" s="125"/>
      <c r="BR230" s="125"/>
      <c r="BS230" s="125"/>
      <c r="BT230" s="125"/>
      <c r="BU230" s="125"/>
      <c r="BV230" s="125"/>
      <c r="BW230" s="125"/>
      <c r="BX230" s="125"/>
      <c r="BY230" s="125"/>
      <c r="BZ230" s="125"/>
      <c r="CA230" s="125">
        <f t="shared" si="25"/>
        <v>142.31210046149261</v>
      </c>
    </row>
    <row r="231" spans="2:79" s="38" customFormat="1" ht="15.95" customHeight="1" x14ac:dyDescent="0.25">
      <c r="B231" s="98">
        <f t="shared" si="31"/>
        <v>19</v>
      </c>
      <c r="C231" s="125">
        <f>'Os juros sobre juros'!$E$46</f>
        <v>331.89250191718025</v>
      </c>
      <c r="D231" s="125">
        <f t="shared" si="33"/>
        <v>183.77316930562972</v>
      </c>
      <c r="E231" s="125">
        <f t="shared" si="34"/>
        <v>148.11933261155053</v>
      </c>
      <c r="F231" s="15">
        <f t="shared" si="23"/>
        <v>0.8059899775968713</v>
      </c>
      <c r="G231" s="125">
        <f t="shared" si="24"/>
        <v>183.77316930562972</v>
      </c>
      <c r="H231" s="125">
        <f t="shared" si="28"/>
        <v>5.8072321500578994</v>
      </c>
      <c r="I231" s="125">
        <f t="shared" si="35"/>
        <v>189.58040145568762</v>
      </c>
      <c r="J231" s="125">
        <f t="shared" ref="J231" si="138">I231*$E$32</f>
        <v>5.9907406859997296</v>
      </c>
      <c r="K231" s="125">
        <f t="shared" si="37"/>
        <v>195.57114214168735</v>
      </c>
      <c r="L231" s="125">
        <f t="shared" ref="L231" si="139">K231*$E$32</f>
        <v>6.1800480916773211</v>
      </c>
      <c r="M231" s="125">
        <f t="shared" si="39"/>
        <v>201.75119023336467</v>
      </c>
      <c r="N231" s="125">
        <f t="shared" si="38"/>
        <v>6.3753376113743245</v>
      </c>
      <c r="O231" s="125">
        <f t="shared" si="42"/>
        <v>208.126527844739</v>
      </c>
      <c r="P231" s="125">
        <f t="shared" ref="P231" si="140">O231*$E$32</f>
        <v>6.5767982798937528</v>
      </c>
      <c r="Q231" s="125">
        <f t="shared" si="47"/>
        <v>214.70332612463275</v>
      </c>
      <c r="R231" s="125">
        <f t="shared" si="46"/>
        <v>6.7846251055383959</v>
      </c>
      <c r="S231" s="125">
        <f t="shared" si="51"/>
        <v>221.48795123017115</v>
      </c>
      <c r="T231" s="125">
        <f t="shared" ref="T231" si="141">S231*$E$32</f>
        <v>6.9990192588734086</v>
      </c>
      <c r="U231" s="125">
        <f t="shared" si="57"/>
        <v>228.48697048904455</v>
      </c>
      <c r="V231" s="125">
        <f t="shared" si="56"/>
        <v>7.2201882674538087</v>
      </c>
      <c r="W231" s="125">
        <f t="shared" si="62"/>
        <v>235.70715875649836</v>
      </c>
      <c r="X231" s="125">
        <f t="shared" ref="X231" si="142">W231*$E$32</f>
        <v>7.4483462167053487</v>
      </c>
      <c r="Y231" s="125">
        <f t="shared" si="69"/>
        <v>243.1555049732037</v>
      </c>
      <c r="Z231" s="125">
        <f t="shared" si="68"/>
        <v>7.6837139571532376</v>
      </c>
      <c r="AA231" s="125">
        <f t="shared" si="75"/>
        <v>250.83921893035694</v>
      </c>
      <c r="AB231" s="125">
        <f t="shared" ref="AB231" si="143">AA231*$E$32</f>
        <v>7.9265193181992801</v>
      </c>
      <c r="AC231" s="125">
        <f t="shared" si="83"/>
        <v>258.7657382485562</v>
      </c>
      <c r="AD231" s="125">
        <f t="shared" si="82"/>
        <v>8.1769973286543767</v>
      </c>
      <c r="AE231" s="125">
        <f t="shared" si="90"/>
        <v>266.94273557721056</v>
      </c>
      <c r="AF231" s="125">
        <f t="shared" ref="AF231" si="144">AE231*$E$32</f>
        <v>8.4353904442398537</v>
      </c>
      <c r="AG231" s="125">
        <f t="shared" si="99"/>
        <v>275.37812602145038</v>
      </c>
      <c r="AH231" s="125">
        <f t="shared" si="98"/>
        <v>8.7019487822778334</v>
      </c>
      <c r="AI231" s="125">
        <f t="shared" si="107"/>
        <v>284.08007480372822</v>
      </c>
      <c r="AJ231" s="125">
        <f t="shared" ref="AJ231" si="145">AI231*$E$32</f>
        <v>8.9769303637978126</v>
      </c>
      <c r="AK231" s="125">
        <f t="shared" si="117"/>
        <v>293.05700516752603</v>
      </c>
      <c r="AL231" s="125">
        <f t="shared" si="116"/>
        <v>9.2606013632938229</v>
      </c>
      <c r="AM231" s="125">
        <f t="shared" si="126"/>
        <v>302.31760653081983</v>
      </c>
      <c r="AN231" s="125">
        <f t="shared" ref="AN231" si="146">AM231*$E$32</f>
        <v>9.5532363663739073</v>
      </c>
      <c r="AO231" s="125">
        <f t="shared" si="137"/>
        <v>311.87084289719371</v>
      </c>
      <c r="AP231" s="125">
        <f t="shared" si="136"/>
        <v>9.8551186355513227</v>
      </c>
      <c r="AQ231" s="125">
        <f t="shared" ref="AQ231:AQ248" si="147">AO231+AP231</f>
        <v>321.72596153274503</v>
      </c>
      <c r="AR231" s="125">
        <f t="shared" ref="AR231" si="148">AQ231*$E$32</f>
        <v>10.166540384434745</v>
      </c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  <c r="BE231" s="125"/>
      <c r="BF231" s="125"/>
      <c r="BG231" s="125"/>
      <c r="BH231" s="125"/>
      <c r="BI231" s="125"/>
      <c r="BJ231" s="125"/>
      <c r="BK231" s="125"/>
      <c r="BL231" s="125"/>
      <c r="BM231" s="125"/>
      <c r="BN231" s="125"/>
      <c r="BO231" s="125"/>
      <c r="BP231" s="125"/>
      <c r="BQ231" s="125"/>
      <c r="BR231" s="125"/>
      <c r="BS231" s="125"/>
      <c r="BT231" s="125"/>
      <c r="BU231" s="125"/>
      <c r="BV231" s="125"/>
      <c r="BW231" s="125"/>
      <c r="BX231" s="125"/>
      <c r="BY231" s="125"/>
      <c r="BZ231" s="125"/>
      <c r="CA231" s="125">
        <f t="shared" si="25"/>
        <v>148.11933261155053</v>
      </c>
    </row>
    <row r="232" spans="2:79" s="38" customFormat="1" ht="15.95" customHeight="1" x14ac:dyDescent="0.25">
      <c r="B232" s="98">
        <f t="shared" si="31"/>
        <v>20</v>
      </c>
      <c r="C232" s="125">
        <f>'Os juros sobre juros'!$E$46</f>
        <v>331.89250191718025</v>
      </c>
      <c r="D232" s="125">
        <f t="shared" si="33"/>
        <v>178.14382445291756</v>
      </c>
      <c r="E232" s="125">
        <f t="shared" si="34"/>
        <v>153.7486774642627</v>
      </c>
      <c r="F232" s="15">
        <f t="shared" si="23"/>
        <v>0.86305926088893214</v>
      </c>
      <c r="G232" s="125">
        <f t="shared" si="24"/>
        <v>178.14382445291756</v>
      </c>
      <c r="H232" s="125">
        <f t="shared" si="28"/>
        <v>5.6293448527121956</v>
      </c>
      <c r="I232" s="125">
        <f t="shared" si="35"/>
        <v>183.77316930562975</v>
      </c>
      <c r="J232" s="125">
        <f t="shared" ref="J232" si="149">I232*$E$32</f>
        <v>5.8072321500579003</v>
      </c>
      <c r="K232" s="125">
        <f t="shared" si="37"/>
        <v>189.58040145568765</v>
      </c>
      <c r="L232" s="125">
        <f t="shared" ref="L232" si="150">K232*$E$32</f>
        <v>5.9907406859997305</v>
      </c>
      <c r="M232" s="125">
        <f t="shared" si="39"/>
        <v>195.57114214168737</v>
      </c>
      <c r="N232" s="125">
        <f t="shared" ref="N232:N248" si="151">M232*$E$32</f>
        <v>6.1800480916773219</v>
      </c>
      <c r="O232" s="125">
        <f t="shared" si="42"/>
        <v>201.7511902333647</v>
      </c>
      <c r="P232" s="125">
        <f t="shared" ref="P232" si="152">O232*$E$32</f>
        <v>6.3753376113743254</v>
      </c>
      <c r="Q232" s="125">
        <f t="shared" si="47"/>
        <v>208.12652784473903</v>
      </c>
      <c r="R232" s="125">
        <f t="shared" si="46"/>
        <v>6.5767982798937537</v>
      </c>
      <c r="S232" s="125">
        <f t="shared" si="51"/>
        <v>214.70332612463278</v>
      </c>
      <c r="T232" s="125">
        <f t="shared" ref="T232" si="153">S232*$E$32</f>
        <v>6.7846251055383968</v>
      </c>
      <c r="U232" s="125">
        <f t="shared" si="57"/>
        <v>221.48795123017118</v>
      </c>
      <c r="V232" s="125">
        <f t="shared" si="56"/>
        <v>6.9990192588734095</v>
      </c>
      <c r="W232" s="125">
        <f t="shared" si="62"/>
        <v>228.48697048904458</v>
      </c>
      <c r="X232" s="125">
        <f t="shared" ref="X232" si="154">W232*$E$32</f>
        <v>7.2201882674538096</v>
      </c>
      <c r="Y232" s="125">
        <f t="shared" si="69"/>
        <v>235.70715875649839</v>
      </c>
      <c r="Z232" s="125">
        <f t="shared" si="68"/>
        <v>7.4483462167053496</v>
      </c>
      <c r="AA232" s="125">
        <f t="shared" si="75"/>
        <v>243.15550497320373</v>
      </c>
      <c r="AB232" s="125">
        <f t="shared" ref="AB232" si="155">AA232*$E$32</f>
        <v>7.6837139571532385</v>
      </c>
      <c r="AC232" s="125">
        <f t="shared" si="83"/>
        <v>250.83921893035696</v>
      </c>
      <c r="AD232" s="125">
        <f t="shared" si="82"/>
        <v>7.926519318199281</v>
      </c>
      <c r="AE232" s="125">
        <f t="shared" si="90"/>
        <v>258.76573824855626</v>
      </c>
      <c r="AF232" s="125">
        <f t="shared" ref="AF232" si="156">AE232*$E$32</f>
        <v>8.1769973286543784</v>
      </c>
      <c r="AG232" s="125">
        <f t="shared" si="99"/>
        <v>266.94273557721061</v>
      </c>
      <c r="AH232" s="125">
        <f t="shared" si="98"/>
        <v>8.4353904442398555</v>
      </c>
      <c r="AI232" s="125">
        <f t="shared" si="107"/>
        <v>275.37812602145044</v>
      </c>
      <c r="AJ232" s="125">
        <f t="shared" ref="AJ232" si="157">AI232*$E$32</f>
        <v>8.7019487822778352</v>
      </c>
      <c r="AK232" s="125">
        <f t="shared" si="117"/>
        <v>284.08007480372828</v>
      </c>
      <c r="AL232" s="125">
        <f t="shared" si="116"/>
        <v>8.9769303637978144</v>
      </c>
      <c r="AM232" s="125">
        <f t="shared" si="126"/>
        <v>293.05700516752609</v>
      </c>
      <c r="AN232" s="125">
        <f t="shared" ref="AN232" si="158">AM232*$E$32</f>
        <v>9.2606013632938247</v>
      </c>
      <c r="AO232" s="125">
        <f t="shared" si="137"/>
        <v>302.31760653081989</v>
      </c>
      <c r="AP232" s="125">
        <f t="shared" si="136"/>
        <v>9.553236366373909</v>
      </c>
      <c r="AQ232" s="125">
        <f t="shared" si="147"/>
        <v>311.87084289719382</v>
      </c>
      <c r="AR232" s="125">
        <f t="shared" ref="AR232:AT247" si="159">AQ232*$E$32</f>
        <v>9.8551186355513263</v>
      </c>
      <c r="AS232" s="125">
        <f t="shared" ref="AS232:AS248" si="160">AQ232+AR232</f>
        <v>321.72596153274515</v>
      </c>
      <c r="AT232" s="125">
        <f t="shared" si="159"/>
        <v>10.166540384434748</v>
      </c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  <c r="BE232" s="125"/>
      <c r="BF232" s="125"/>
      <c r="BG232" s="125"/>
      <c r="BH232" s="125"/>
      <c r="BI232" s="125"/>
      <c r="BJ232" s="125"/>
      <c r="BK232" s="125"/>
      <c r="BL232" s="125"/>
      <c r="BM232" s="125"/>
      <c r="BN232" s="125"/>
      <c r="BO232" s="125"/>
      <c r="BP232" s="125"/>
      <c r="BQ232" s="125"/>
      <c r="BR232" s="125"/>
      <c r="BS232" s="125"/>
      <c r="BT232" s="125"/>
      <c r="BU232" s="125"/>
      <c r="BV232" s="125"/>
      <c r="BW232" s="125"/>
      <c r="BX232" s="125"/>
      <c r="BY232" s="125"/>
      <c r="BZ232" s="125"/>
      <c r="CA232" s="125">
        <f t="shared" si="25"/>
        <v>153.7486774642627</v>
      </c>
    </row>
    <row r="233" spans="2:79" s="38" customFormat="1" ht="15.95" customHeight="1" x14ac:dyDescent="0.25">
      <c r="B233" s="98">
        <f t="shared" si="31"/>
        <v>21</v>
      </c>
      <c r="C233" s="125">
        <f>'Os juros sobre juros'!$E$46</f>
        <v>331.89250191718025</v>
      </c>
      <c r="D233" s="125">
        <f t="shared" si="33"/>
        <v>172.68691784889253</v>
      </c>
      <c r="E233" s="125">
        <f t="shared" si="34"/>
        <v>159.20558406828772</v>
      </c>
      <c r="F233" s="15">
        <f t="shared" si="23"/>
        <v>0.92193193353302261</v>
      </c>
      <c r="G233" s="125">
        <f t="shared" si="24"/>
        <v>172.68691784889253</v>
      </c>
      <c r="H233" s="125">
        <f t="shared" si="28"/>
        <v>5.4569066040250043</v>
      </c>
      <c r="I233" s="125">
        <f t="shared" si="35"/>
        <v>178.14382445291753</v>
      </c>
      <c r="J233" s="125">
        <f t="shared" ref="J233" si="161">I233*$E$32</f>
        <v>5.6293448527121948</v>
      </c>
      <c r="K233" s="125">
        <f t="shared" si="37"/>
        <v>183.77316930562972</v>
      </c>
      <c r="L233" s="125">
        <f t="shared" ref="L233" si="162">K233*$E$32</f>
        <v>5.8072321500578994</v>
      </c>
      <c r="M233" s="125">
        <f t="shared" si="39"/>
        <v>189.58040145568762</v>
      </c>
      <c r="N233" s="125">
        <f t="shared" si="151"/>
        <v>5.9907406859997296</v>
      </c>
      <c r="O233" s="125">
        <f t="shared" si="42"/>
        <v>195.57114214168735</v>
      </c>
      <c r="P233" s="125">
        <f t="shared" ref="P233" si="163">O233*$E$32</f>
        <v>6.1800480916773211</v>
      </c>
      <c r="Q233" s="125">
        <f t="shared" si="47"/>
        <v>201.75119023336467</v>
      </c>
      <c r="R233" s="125">
        <f t="shared" si="46"/>
        <v>6.3753376113743245</v>
      </c>
      <c r="S233" s="125">
        <f t="shared" si="51"/>
        <v>208.126527844739</v>
      </c>
      <c r="T233" s="125">
        <f t="shared" ref="T233" si="164">S233*$E$32</f>
        <v>6.5767982798937528</v>
      </c>
      <c r="U233" s="125">
        <f t="shared" si="57"/>
        <v>214.70332612463275</v>
      </c>
      <c r="V233" s="125">
        <f t="shared" si="56"/>
        <v>6.7846251055383959</v>
      </c>
      <c r="W233" s="125">
        <f t="shared" si="62"/>
        <v>221.48795123017115</v>
      </c>
      <c r="X233" s="125">
        <f t="shared" ref="X233" si="165">W233*$E$32</f>
        <v>6.9990192588734086</v>
      </c>
      <c r="Y233" s="125">
        <f t="shared" si="69"/>
        <v>228.48697048904455</v>
      </c>
      <c r="Z233" s="125">
        <f t="shared" si="68"/>
        <v>7.2201882674538087</v>
      </c>
      <c r="AA233" s="125">
        <f t="shared" si="75"/>
        <v>235.70715875649836</v>
      </c>
      <c r="AB233" s="125">
        <f t="shared" ref="AB233" si="166">AA233*$E$32</f>
        <v>7.4483462167053487</v>
      </c>
      <c r="AC233" s="125">
        <f t="shared" si="83"/>
        <v>243.1555049732037</v>
      </c>
      <c r="AD233" s="125">
        <f t="shared" si="82"/>
        <v>7.6837139571532376</v>
      </c>
      <c r="AE233" s="125">
        <f t="shared" si="90"/>
        <v>250.83921893035694</v>
      </c>
      <c r="AF233" s="125">
        <f t="shared" ref="AF233" si="167">AE233*$E$32</f>
        <v>7.9265193181992801</v>
      </c>
      <c r="AG233" s="125">
        <f t="shared" si="99"/>
        <v>258.7657382485562</v>
      </c>
      <c r="AH233" s="125">
        <f t="shared" si="98"/>
        <v>8.1769973286543767</v>
      </c>
      <c r="AI233" s="125">
        <f t="shared" si="107"/>
        <v>266.94273557721056</v>
      </c>
      <c r="AJ233" s="125">
        <f t="shared" ref="AJ233" si="168">AI233*$E$32</f>
        <v>8.4353904442398537</v>
      </c>
      <c r="AK233" s="125">
        <f t="shared" si="117"/>
        <v>275.37812602145038</v>
      </c>
      <c r="AL233" s="125">
        <f t="shared" si="116"/>
        <v>8.7019487822778334</v>
      </c>
      <c r="AM233" s="125">
        <f t="shared" si="126"/>
        <v>284.08007480372822</v>
      </c>
      <c r="AN233" s="125">
        <f t="shared" ref="AN233" si="169">AM233*$E$32</f>
        <v>8.9769303637978126</v>
      </c>
      <c r="AO233" s="125">
        <f t="shared" si="137"/>
        <v>293.05700516752603</v>
      </c>
      <c r="AP233" s="125">
        <f t="shared" si="136"/>
        <v>9.2606013632938229</v>
      </c>
      <c r="AQ233" s="125">
        <f t="shared" si="147"/>
        <v>302.31760653081983</v>
      </c>
      <c r="AR233" s="125">
        <f t="shared" ref="AR233" si="170">AQ233*$E$32</f>
        <v>9.5532363663739073</v>
      </c>
      <c r="AS233" s="125">
        <f t="shared" si="160"/>
        <v>311.87084289719371</v>
      </c>
      <c r="AT233" s="125">
        <f t="shared" si="159"/>
        <v>9.8551186355513227</v>
      </c>
      <c r="AU233" s="125">
        <f t="shared" ref="AU233:AU248" si="171">AS233+AT233</f>
        <v>321.72596153274503</v>
      </c>
      <c r="AV233" s="125">
        <f t="shared" ref="AV233" si="172">AU233*$E$32</f>
        <v>10.166540384434745</v>
      </c>
      <c r="AW233" s="125"/>
      <c r="AX233" s="125"/>
      <c r="AY233" s="125"/>
      <c r="AZ233" s="125"/>
      <c r="BA233" s="125"/>
      <c r="BB233" s="125"/>
      <c r="BC233" s="125"/>
      <c r="BD233" s="125"/>
      <c r="BE233" s="125"/>
      <c r="BF233" s="125"/>
      <c r="BG233" s="125"/>
      <c r="BH233" s="125"/>
      <c r="BI233" s="125"/>
      <c r="BJ233" s="125"/>
      <c r="BK233" s="125"/>
      <c r="BL233" s="125"/>
      <c r="BM233" s="125"/>
      <c r="BN233" s="125"/>
      <c r="BO233" s="125"/>
      <c r="BP233" s="125"/>
      <c r="BQ233" s="125"/>
      <c r="BR233" s="125"/>
      <c r="BS233" s="125"/>
      <c r="BT233" s="125"/>
      <c r="BU233" s="125"/>
      <c r="BV233" s="125"/>
      <c r="BW233" s="125"/>
      <c r="BX233" s="125"/>
      <c r="BY233" s="125"/>
      <c r="BZ233" s="125"/>
      <c r="CA233" s="125">
        <f t="shared" si="25"/>
        <v>159.20558406828772</v>
      </c>
    </row>
    <row r="234" spans="2:79" s="38" customFormat="1" ht="15.95" customHeight="1" x14ac:dyDescent="0.25">
      <c r="B234" s="98">
        <f t="shared" si="31"/>
        <v>22</v>
      </c>
      <c r="C234" s="125">
        <f>'Os juros sobre juros'!$E$46</f>
        <v>331.89250191718025</v>
      </c>
      <c r="D234" s="125">
        <f t="shared" si="33"/>
        <v>167.39716736030684</v>
      </c>
      <c r="E234" s="125">
        <f t="shared" si="34"/>
        <v>164.49533455687342</v>
      </c>
      <c r="F234" s="15">
        <f t="shared" si="23"/>
        <v>0.98266498263266611</v>
      </c>
      <c r="G234" s="125">
        <f t="shared" si="24"/>
        <v>167.39716736030684</v>
      </c>
      <c r="H234" s="125">
        <f t="shared" si="28"/>
        <v>5.289750488585697</v>
      </c>
      <c r="I234" s="125">
        <f t="shared" si="35"/>
        <v>172.68691784889253</v>
      </c>
      <c r="J234" s="125">
        <f t="shared" ref="J234" si="173">I234*$E$32</f>
        <v>5.4569066040250043</v>
      </c>
      <c r="K234" s="125">
        <f t="shared" si="37"/>
        <v>178.14382445291753</v>
      </c>
      <c r="L234" s="125">
        <f t="shared" ref="L234" si="174">K234*$E$32</f>
        <v>5.6293448527121948</v>
      </c>
      <c r="M234" s="125">
        <f t="shared" si="39"/>
        <v>183.77316930562972</v>
      </c>
      <c r="N234" s="125">
        <f t="shared" si="151"/>
        <v>5.8072321500578994</v>
      </c>
      <c r="O234" s="125">
        <f t="shared" si="42"/>
        <v>189.58040145568762</v>
      </c>
      <c r="P234" s="125">
        <f t="shared" ref="P234" si="175">O234*$E$32</f>
        <v>5.9907406859997296</v>
      </c>
      <c r="Q234" s="125">
        <f t="shared" si="47"/>
        <v>195.57114214168735</v>
      </c>
      <c r="R234" s="125">
        <f t="shared" ref="R234:R248" si="176">Q234*$E$32</f>
        <v>6.1800480916773211</v>
      </c>
      <c r="S234" s="125">
        <f t="shared" si="51"/>
        <v>201.75119023336467</v>
      </c>
      <c r="T234" s="125">
        <f t="shared" ref="T234" si="177">S234*$E$32</f>
        <v>6.3753376113743245</v>
      </c>
      <c r="U234" s="125">
        <f t="shared" si="57"/>
        <v>208.126527844739</v>
      </c>
      <c r="V234" s="125">
        <f t="shared" si="56"/>
        <v>6.5767982798937528</v>
      </c>
      <c r="W234" s="125">
        <f t="shared" si="62"/>
        <v>214.70332612463275</v>
      </c>
      <c r="X234" s="125">
        <f t="shared" ref="X234" si="178">W234*$E$32</f>
        <v>6.7846251055383959</v>
      </c>
      <c r="Y234" s="125">
        <f t="shared" si="69"/>
        <v>221.48795123017115</v>
      </c>
      <c r="Z234" s="125">
        <f t="shared" si="68"/>
        <v>6.9990192588734086</v>
      </c>
      <c r="AA234" s="125">
        <f t="shared" si="75"/>
        <v>228.48697048904455</v>
      </c>
      <c r="AB234" s="125">
        <f t="shared" ref="AB234" si="179">AA234*$E$32</f>
        <v>7.2201882674538087</v>
      </c>
      <c r="AC234" s="125">
        <f t="shared" si="83"/>
        <v>235.70715875649836</v>
      </c>
      <c r="AD234" s="125">
        <f t="shared" si="82"/>
        <v>7.4483462167053487</v>
      </c>
      <c r="AE234" s="125">
        <f t="shared" si="90"/>
        <v>243.1555049732037</v>
      </c>
      <c r="AF234" s="125">
        <f t="shared" ref="AF234" si="180">AE234*$E$32</f>
        <v>7.6837139571532376</v>
      </c>
      <c r="AG234" s="125">
        <f t="shared" si="99"/>
        <v>250.83921893035694</v>
      </c>
      <c r="AH234" s="125">
        <f t="shared" si="98"/>
        <v>7.9265193181992801</v>
      </c>
      <c r="AI234" s="125">
        <f t="shared" si="107"/>
        <v>258.7657382485562</v>
      </c>
      <c r="AJ234" s="125">
        <f t="shared" ref="AJ234" si="181">AI234*$E$32</f>
        <v>8.1769973286543767</v>
      </c>
      <c r="AK234" s="125">
        <f t="shared" si="117"/>
        <v>266.94273557721056</v>
      </c>
      <c r="AL234" s="125">
        <f t="shared" si="116"/>
        <v>8.4353904442398537</v>
      </c>
      <c r="AM234" s="125">
        <f t="shared" si="126"/>
        <v>275.37812602145038</v>
      </c>
      <c r="AN234" s="125">
        <f t="shared" ref="AN234" si="182">AM234*$E$32</f>
        <v>8.7019487822778334</v>
      </c>
      <c r="AO234" s="125">
        <f t="shared" si="137"/>
        <v>284.08007480372822</v>
      </c>
      <c r="AP234" s="125">
        <f t="shared" si="136"/>
        <v>8.9769303637978126</v>
      </c>
      <c r="AQ234" s="125">
        <f t="shared" si="147"/>
        <v>293.05700516752603</v>
      </c>
      <c r="AR234" s="125">
        <f t="shared" ref="AR234" si="183">AQ234*$E$32</f>
        <v>9.2606013632938229</v>
      </c>
      <c r="AS234" s="125">
        <f t="shared" si="160"/>
        <v>302.31760653081983</v>
      </c>
      <c r="AT234" s="125">
        <f t="shared" si="159"/>
        <v>9.5532363663739073</v>
      </c>
      <c r="AU234" s="125">
        <f t="shared" si="171"/>
        <v>311.87084289719371</v>
      </c>
      <c r="AV234" s="125">
        <f t="shared" ref="AV234:AX248" si="184">AU234*$E$32</f>
        <v>9.8551186355513227</v>
      </c>
      <c r="AW234" s="125">
        <f t="shared" ref="AW234:AW248" si="185">AU234+AV234</f>
        <v>321.72596153274503</v>
      </c>
      <c r="AX234" s="125">
        <f t="shared" si="184"/>
        <v>10.166540384434745</v>
      </c>
      <c r="AY234" s="125"/>
      <c r="AZ234" s="125"/>
      <c r="BA234" s="125"/>
      <c r="BB234" s="125"/>
      <c r="BC234" s="125"/>
      <c r="BD234" s="125"/>
      <c r="BE234" s="125"/>
      <c r="BF234" s="125"/>
      <c r="BG234" s="125"/>
      <c r="BH234" s="125"/>
      <c r="BI234" s="125"/>
      <c r="BJ234" s="125"/>
      <c r="BK234" s="125"/>
      <c r="BL234" s="125"/>
      <c r="BM234" s="125"/>
      <c r="BN234" s="125"/>
      <c r="BO234" s="125"/>
      <c r="BP234" s="125"/>
      <c r="BQ234" s="125"/>
      <c r="BR234" s="125"/>
      <c r="BS234" s="125"/>
      <c r="BT234" s="125"/>
      <c r="BU234" s="125"/>
      <c r="BV234" s="125"/>
      <c r="BW234" s="125"/>
      <c r="BX234" s="125"/>
      <c r="BY234" s="125"/>
      <c r="BZ234" s="125"/>
      <c r="CA234" s="125">
        <f t="shared" si="25"/>
        <v>164.49533455687342</v>
      </c>
    </row>
    <row r="235" spans="2:79" s="38" customFormat="1" ht="15.95" customHeight="1" x14ac:dyDescent="0.25">
      <c r="B235" s="98">
        <f t="shared" si="31"/>
        <v>23</v>
      </c>
      <c r="C235" s="125">
        <f>'Os juros sobre juros'!$E$46</f>
        <v>331.89250191718025</v>
      </c>
      <c r="D235" s="125">
        <f t="shared" si="33"/>
        <v>162.26945265636564</v>
      </c>
      <c r="E235" s="125">
        <f t="shared" si="34"/>
        <v>169.62304926081461</v>
      </c>
      <c r="F235" s="15">
        <f t="shared" si="23"/>
        <v>1.0453171960838588</v>
      </c>
      <c r="G235" s="125">
        <f t="shared" si="24"/>
        <v>162.26945265636564</v>
      </c>
      <c r="H235" s="125">
        <f t="shared" si="28"/>
        <v>5.1277147039411552</v>
      </c>
      <c r="I235" s="125">
        <f t="shared" si="35"/>
        <v>167.39716736030681</v>
      </c>
      <c r="J235" s="125">
        <f t="shared" ref="J235" si="186">I235*$E$32</f>
        <v>5.2897504885856961</v>
      </c>
      <c r="K235" s="125">
        <f t="shared" si="37"/>
        <v>172.68691784889251</v>
      </c>
      <c r="L235" s="125">
        <f t="shared" ref="L235" si="187">K235*$E$32</f>
        <v>5.4569066040250034</v>
      </c>
      <c r="M235" s="125">
        <f t="shared" si="39"/>
        <v>178.1438244529175</v>
      </c>
      <c r="N235" s="125">
        <f t="shared" si="151"/>
        <v>5.6293448527121939</v>
      </c>
      <c r="O235" s="125">
        <f t="shared" si="42"/>
        <v>183.77316930562969</v>
      </c>
      <c r="P235" s="125">
        <f t="shared" ref="P235" si="188">O235*$E$32</f>
        <v>5.8072321500578985</v>
      </c>
      <c r="Q235" s="125">
        <f t="shared" si="47"/>
        <v>189.58040145568759</v>
      </c>
      <c r="R235" s="125">
        <f t="shared" si="176"/>
        <v>5.9907406859997288</v>
      </c>
      <c r="S235" s="125">
        <f t="shared" si="51"/>
        <v>195.57114214168732</v>
      </c>
      <c r="T235" s="125">
        <f t="shared" ref="T235" si="189">S235*$E$32</f>
        <v>6.1800480916773202</v>
      </c>
      <c r="U235" s="125">
        <f t="shared" si="57"/>
        <v>201.75119023336464</v>
      </c>
      <c r="V235" s="125">
        <f t="shared" si="56"/>
        <v>6.3753376113743236</v>
      </c>
      <c r="W235" s="125">
        <f t="shared" si="62"/>
        <v>208.12652784473897</v>
      </c>
      <c r="X235" s="125">
        <f t="shared" ref="X235" si="190">W235*$E$32</f>
        <v>6.5767982798937519</v>
      </c>
      <c r="Y235" s="125">
        <f t="shared" si="69"/>
        <v>214.70332612463272</v>
      </c>
      <c r="Z235" s="125">
        <f t="shared" si="68"/>
        <v>6.784625105538395</v>
      </c>
      <c r="AA235" s="125">
        <f t="shared" si="75"/>
        <v>221.48795123017112</v>
      </c>
      <c r="AB235" s="125">
        <f t="shared" ref="AB235" si="191">AA235*$E$32</f>
        <v>6.9990192588734077</v>
      </c>
      <c r="AC235" s="125">
        <f t="shared" si="83"/>
        <v>228.48697048904452</v>
      </c>
      <c r="AD235" s="125">
        <f t="shared" si="82"/>
        <v>7.2201882674538078</v>
      </c>
      <c r="AE235" s="125">
        <f t="shared" si="90"/>
        <v>235.70715875649833</v>
      </c>
      <c r="AF235" s="125">
        <f t="shared" ref="AF235" si="192">AE235*$E$32</f>
        <v>7.4483462167053478</v>
      </c>
      <c r="AG235" s="125">
        <f t="shared" si="99"/>
        <v>243.15550497320368</v>
      </c>
      <c r="AH235" s="125">
        <f t="shared" si="98"/>
        <v>7.6837139571532367</v>
      </c>
      <c r="AI235" s="125">
        <f t="shared" si="107"/>
        <v>250.83921893035691</v>
      </c>
      <c r="AJ235" s="125">
        <f t="shared" ref="AJ235" si="193">AI235*$E$32</f>
        <v>7.9265193181992792</v>
      </c>
      <c r="AK235" s="125">
        <f t="shared" si="117"/>
        <v>258.7657382485562</v>
      </c>
      <c r="AL235" s="125">
        <f t="shared" si="116"/>
        <v>8.1769973286543767</v>
      </c>
      <c r="AM235" s="125">
        <f t="shared" si="126"/>
        <v>266.94273557721056</v>
      </c>
      <c r="AN235" s="125">
        <f t="shared" ref="AN235" si="194">AM235*$E$32</f>
        <v>8.4353904442398537</v>
      </c>
      <c r="AO235" s="125">
        <f t="shared" si="137"/>
        <v>275.37812602145038</v>
      </c>
      <c r="AP235" s="125">
        <f t="shared" si="136"/>
        <v>8.7019487822778334</v>
      </c>
      <c r="AQ235" s="125">
        <f t="shared" si="147"/>
        <v>284.08007480372822</v>
      </c>
      <c r="AR235" s="125">
        <f t="shared" ref="AR235" si="195">AQ235*$E$32</f>
        <v>8.9769303637978126</v>
      </c>
      <c r="AS235" s="125">
        <f t="shared" si="160"/>
        <v>293.05700516752603</v>
      </c>
      <c r="AT235" s="125">
        <f t="shared" si="159"/>
        <v>9.2606013632938229</v>
      </c>
      <c r="AU235" s="125">
        <f t="shared" si="171"/>
        <v>302.31760653081983</v>
      </c>
      <c r="AV235" s="125">
        <f t="shared" ref="AV235" si="196">AU235*$E$32</f>
        <v>9.5532363663739073</v>
      </c>
      <c r="AW235" s="125">
        <f t="shared" si="185"/>
        <v>311.87084289719371</v>
      </c>
      <c r="AX235" s="125">
        <f t="shared" si="184"/>
        <v>9.8551186355513227</v>
      </c>
      <c r="AY235" s="125">
        <f t="shared" ref="AY235:AY248" si="197">AW235+AX235</f>
        <v>321.72596153274503</v>
      </c>
      <c r="AZ235" s="125">
        <f t="shared" ref="AZ235" si="198">AY235*$E$32</f>
        <v>10.166540384434745</v>
      </c>
      <c r="BA235" s="125"/>
      <c r="BB235" s="125"/>
      <c r="BC235" s="125"/>
      <c r="BD235" s="125"/>
      <c r="BE235" s="125"/>
      <c r="BF235" s="125"/>
      <c r="BG235" s="125"/>
      <c r="BH235" s="125"/>
      <c r="BI235" s="125"/>
      <c r="BJ235" s="125"/>
      <c r="BK235" s="125"/>
      <c r="BL235" s="125"/>
      <c r="BM235" s="125"/>
      <c r="BN235" s="125"/>
      <c r="BO235" s="125"/>
      <c r="BP235" s="125"/>
      <c r="BQ235" s="125"/>
      <c r="BR235" s="125"/>
      <c r="BS235" s="125"/>
      <c r="BT235" s="125"/>
      <c r="BU235" s="125"/>
      <c r="BV235" s="125"/>
      <c r="BW235" s="125"/>
      <c r="BX235" s="125"/>
      <c r="BY235" s="125"/>
      <c r="BZ235" s="125"/>
      <c r="CA235" s="125">
        <f t="shared" si="25"/>
        <v>169.62304926081461</v>
      </c>
    </row>
    <row r="236" spans="2:79" s="38" customFormat="1" ht="15.95" customHeight="1" x14ac:dyDescent="0.25">
      <c r="B236" s="98">
        <f t="shared" si="31"/>
        <v>24</v>
      </c>
      <c r="C236" s="125">
        <f>'Os juros sobre juros'!$E$46</f>
        <v>331.89250191718025</v>
      </c>
      <c r="D236" s="125">
        <f t="shared" si="33"/>
        <v>157.29881025239013</v>
      </c>
      <c r="E236" s="125">
        <f t="shared" si="34"/>
        <v>174.59369166479013</v>
      </c>
      <c r="F236" s="15">
        <f t="shared" si="23"/>
        <v>1.1099492194801086</v>
      </c>
      <c r="G236" s="125">
        <f t="shared" si="24"/>
        <v>157.29881025239013</v>
      </c>
      <c r="H236" s="125">
        <f t="shared" si="28"/>
        <v>4.9706424039755284</v>
      </c>
      <c r="I236" s="125">
        <f t="shared" si="35"/>
        <v>162.26945265636564</v>
      </c>
      <c r="J236" s="125">
        <f t="shared" ref="J236" si="199">I236*$E$32</f>
        <v>5.1277147039411552</v>
      </c>
      <c r="K236" s="125">
        <f t="shared" si="37"/>
        <v>167.39716736030681</v>
      </c>
      <c r="L236" s="125">
        <f t="shared" ref="L236" si="200">K236*$E$32</f>
        <v>5.2897504885856961</v>
      </c>
      <c r="M236" s="125">
        <f t="shared" si="39"/>
        <v>172.68691784889251</v>
      </c>
      <c r="N236" s="125">
        <f t="shared" si="151"/>
        <v>5.4569066040250034</v>
      </c>
      <c r="O236" s="125">
        <f t="shared" si="42"/>
        <v>178.1438244529175</v>
      </c>
      <c r="P236" s="125">
        <f t="shared" ref="P236" si="201">O236*$E$32</f>
        <v>5.6293448527121939</v>
      </c>
      <c r="Q236" s="125">
        <f t="shared" si="47"/>
        <v>183.77316930562969</v>
      </c>
      <c r="R236" s="125">
        <f t="shared" si="176"/>
        <v>5.8072321500578985</v>
      </c>
      <c r="S236" s="125">
        <f t="shared" si="51"/>
        <v>189.58040145568759</v>
      </c>
      <c r="T236" s="125">
        <f t="shared" ref="T236" si="202">S236*$E$32</f>
        <v>5.9907406859997288</v>
      </c>
      <c r="U236" s="125">
        <f t="shared" si="57"/>
        <v>195.57114214168732</v>
      </c>
      <c r="V236" s="125">
        <f t="shared" ref="V236:V248" si="203">U236*$E$32</f>
        <v>6.1800480916773202</v>
      </c>
      <c r="W236" s="125">
        <f t="shared" si="62"/>
        <v>201.75119023336464</v>
      </c>
      <c r="X236" s="125">
        <f t="shared" ref="X236" si="204">W236*$E$32</f>
        <v>6.3753376113743236</v>
      </c>
      <c r="Y236" s="125">
        <f t="shared" si="69"/>
        <v>208.12652784473897</v>
      </c>
      <c r="Z236" s="125">
        <f t="shared" si="68"/>
        <v>6.5767982798937519</v>
      </c>
      <c r="AA236" s="125">
        <f t="shared" si="75"/>
        <v>214.70332612463272</v>
      </c>
      <c r="AB236" s="125">
        <f t="shared" ref="AB236" si="205">AA236*$E$32</f>
        <v>6.784625105538395</v>
      </c>
      <c r="AC236" s="125">
        <f t="shared" si="83"/>
        <v>221.48795123017112</v>
      </c>
      <c r="AD236" s="125">
        <f t="shared" si="82"/>
        <v>6.9990192588734077</v>
      </c>
      <c r="AE236" s="125">
        <f t="shared" si="90"/>
        <v>228.48697048904452</v>
      </c>
      <c r="AF236" s="125">
        <f t="shared" ref="AF236" si="206">AE236*$E$32</f>
        <v>7.2201882674538078</v>
      </c>
      <c r="AG236" s="125">
        <f t="shared" si="99"/>
        <v>235.70715875649833</v>
      </c>
      <c r="AH236" s="125">
        <f t="shared" si="98"/>
        <v>7.4483462167053478</v>
      </c>
      <c r="AI236" s="125">
        <f t="shared" si="107"/>
        <v>243.15550497320368</v>
      </c>
      <c r="AJ236" s="125">
        <f t="shared" ref="AJ236" si="207">AI236*$E$32</f>
        <v>7.6837139571532367</v>
      </c>
      <c r="AK236" s="125">
        <f t="shared" si="117"/>
        <v>250.83921893035691</v>
      </c>
      <c r="AL236" s="125">
        <f t="shared" si="116"/>
        <v>7.9265193181992792</v>
      </c>
      <c r="AM236" s="125">
        <f t="shared" si="126"/>
        <v>258.7657382485562</v>
      </c>
      <c r="AN236" s="125">
        <f t="shared" ref="AN236" si="208">AM236*$E$32</f>
        <v>8.1769973286543767</v>
      </c>
      <c r="AO236" s="125">
        <f t="shared" si="137"/>
        <v>266.94273557721056</v>
      </c>
      <c r="AP236" s="125">
        <f t="shared" si="136"/>
        <v>8.4353904442398537</v>
      </c>
      <c r="AQ236" s="125">
        <f t="shared" si="147"/>
        <v>275.37812602145038</v>
      </c>
      <c r="AR236" s="125">
        <f t="shared" ref="AR236" si="209">AQ236*$E$32</f>
        <v>8.7019487822778334</v>
      </c>
      <c r="AS236" s="125">
        <f t="shared" si="160"/>
        <v>284.08007480372822</v>
      </c>
      <c r="AT236" s="125">
        <f t="shared" si="159"/>
        <v>8.9769303637978126</v>
      </c>
      <c r="AU236" s="125">
        <f t="shared" si="171"/>
        <v>293.05700516752603</v>
      </c>
      <c r="AV236" s="125">
        <f t="shared" ref="AV236" si="210">AU236*$E$32</f>
        <v>9.2606013632938229</v>
      </c>
      <c r="AW236" s="125">
        <f t="shared" si="185"/>
        <v>302.31760653081983</v>
      </c>
      <c r="AX236" s="125">
        <f t="shared" si="184"/>
        <v>9.5532363663739073</v>
      </c>
      <c r="AY236" s="125">
        <f t="shared" si="197"/>
        <v>311.87084289719371</v>
      </c>
      <c r="AZ236" s="125">
        <f t="shared" ref="AZ236:BB248" si="211">AY236*$E$32</f>
        <v>9.8551186355513227</v>
      </c>
      <c r="BA236" s="125">
        <f t="shared" ref="BA236:BA248" si="212">AY236+AZ236</f>
        <v>321.72596153274503</v>
      </c>
      <c r="BB236" s="125">
        <f t="shared" si="211"/>
        <v>10.166540384434745</v>
      </c>
      <c r="BC236" s="125"/>
      <c r="BD236" s="125"/>
      <c r="BE236" s="125"/>
      <c r="BF236" s="125"/>
      <c r="BG236" s="125"/>
      <c r="BH236" s="125"/>
      <c r="BI236" s="125"/>
      <c r="BJ236" s="125"/>
      <c r="BK236" s="125"/>
      <c r="BL236" s="125"/>
      <c r="BM236" s="125"/>
      <c r="BN236" s="125"/>
      <c r="BO236" s="125"/>
      <c r="BP236" s="125"/>
      <c r="BQ236" s="125"/>
      <c r="BR236" s="125"/>
      <c r="BS236" s="125"/>
      <c r="BT236" s="125"/>
      <c r="BU236" s="125"/>
      <c r="BV236" s="125"/>
      <c r="BW236" s="125"/>
      <c r="BX236" s="125"/>
      <c r="BY236" s="125"/>
      <c r="BZ236" s="125"/>
      <c r="CA236" s="125">
        <f t="shared" si="25"/>
        <v>174.59369166479013</v>
      </c>
    </row>
    <row r="237" spans="2:79" s="38" customFormat="1" ht="15.95" customHeight="1" x14ac:dyDescent="0.25">
      <c r="B237" s="98">
        <f t="shared" si="31"/>
        <v>25</v>
      </c>
      <c r="C237" s="125">
        <f>'Os juros sobre juros'!$E$46</f>
        <v>331.89250191718025</v>
      </c>
      <c r="D237" s="125">
        <f t="shared" si="33"/>
        <v>152.48042870530256</v>
      </c>
      <c r="E237" s="125">
        <f t="shared" si="34"/>
        <v>179.4120732118777</v>
      </c>
      <c r="F237" s="15">
        <f t="shared" si="23"/>
        <v>1.1766236148156801</v>
      </c>
      <c r="G237" s="125">
        <f t="shared" si="24"/>
        <v>152.48042870530256</v>
      </c>
      <c r="H237" s="125">
        <f t="shared" si="28"/>
        <v>4.8183815470875615</v>
      </c>
      <c r="I237" s="125">
        <f t="shared" si="35"/>
        <v>157.29881025239013</v>
      </c>
      <c r="J237" s="125">
        <f t="shared" ref="J237" si="213">I237*$E$32</f>
        <v>4.9706424039755284</v>
      </c>
      <c r="K237" s="125">
        <f t="shared" si="37"/>
        <v>162.26945265636564</v>
      </c>
      <c r="L237" s="125">
        <f t="shared" ref="L237" si="214">K237*$E$32</f>
        <v>5.1277147039411552</v>
      </c>
      <c r="M237" s="125">
        <f t="shared" si="39"/>
        <v>167.39716736030681</v>
      </c>
      <c r="N237" s="125">
        <f t="shared" si="151"/>
        <v>5.2897504885856961</v>
      </c>
      <c r="O237" s="125">
        <f t="shared" si="42"/>
        <v>172.68691784889251</v>
      </c>
      <c r="P237" s="125">
        <f t="shared" ref="P237" si="215">O237*$E$32</f>
        <v>5.4569066040250034</v>
      </c>
      <c r="Q237" s="125">
        <f t="shared" si="47"/>
        <v>178.1438244529175</v>
      </c>
      <c r="R237" s="125">
        <f t="shared" si="176"/>
        <v>5.6293448527121939</v>
      </c>
      <c r="S237" s="125">
        <f t="shared" si="51"/>
        <v>183.77316930562969</v>
      </c>
      <c r="T237" s="125">
        <f t="shared" ref="T237" si="216">S237*$E$32</f>
        <v>5.8072321500578985</v>
      </c>
      <c r="U237" s="125">
        <f t="shared" si="57"/>
        <v>189.58040145568759</v>
      </c>
      <c r="V237" s="125">
        <f t="shared" si="203"/>
        <v>5.9907406859997288</v>
      </c>
      <c r="W237" s="125">
        <f t="shared" si="62"/>
        <v>195.57114214168732</v>
      </c>
      <c r="X237" s="125">
        <f t="shared" ref="X237" si="217">W237*$E$32</f>
        <v>6.1800480916773202</v>
      </c>
      <c r="Y237" s="125">
        <f t="shared" si="69"/>
        <v>201.75119023336464</v>
      </c>
      <c r="Z237" s="125">
        <f t="shared" si="68"/>
        <v>6.3753376113743236</v>
      </c>
      <c r="AA237" s="125">
        <f t="shared" si="75"/>
        <v>208.12652784473897</v>
      </c>
      <c r="AB237" s="125">
        <f t="shared" ref="AB237" si="218">AA237*$E$32</f>
        <v>6.5767982798937519</v>
      </c>
      <c r="AC237" s="125">
        <f t="shared" si="83"/>
        <v>214.70332612463272</v>
      </c>
      <c r="AD237" s="125">
        <f t="shared" si="82"/>
        <v>6.784625105538395</v>
      </c>
      <c r="AE237" s="125">
        <f t="shared" si="90"/>
        <v>221.48795123017112</v>
      </c>
      <c r="AF237" s="125">
        <f t="shared" ref="AF237" si="219">AE237*$E$32</f>
        <v>6.9990192588734077</v>
      </c>
      <c r="AG237" s="125">
        <f t="shared" si="99"/>
        <v>228.48697048904452</v>
      </c>
      <c r="AH237" s="125">
        <f t="shared" si="98"/>
        <v>7.2201882674538078</v>
      </c>
      <c r="AI237" s="125">
        <f t="shared" si="107"/>
        <v>235.70715875649833</v>
      </c>
      <c r="AJ237" s="125">
        <f t="shared" ref="AJ237" si="220">AI237*$E$32</f>
        <v>7.4483462167053478</v>
      </c>
      <c r="AK237" s="125">
        <f t="shared" si="117"/>
        <v>243.15550497320368</v>
      </c>
      <c r="AL237" s="125">
        <f t="shared" si="116"/>
        <v>7.6837139571532367</v>
      </c>
      <c r="AM237" s="125">
        <f t="shared" si="126"/>
        <v>250.83921893035691</v>
      </c>
      <c r="AN237" s="125">
        <f t="shared" ref="AN237" si="221">AM237*$E$32</f>
        <v>7.9265193181992792</v>
      </c>
      <c r="AO237" s="125">
        <f t="shared" si="137"/>
        <v>258.7657382485562</v>
      </c>
      <c r="AP237" s="125">
        <f t="shared" si="136"/>
        <v>8.1769973286543767</v>
      </c>
      <c r="AQ237" s="125">
        <f t="shared" si="147"/>
        <v>266.94273557721056</v>
      </c>
      <c r="AR237" s="125">
        <f t="shared" ref="AR237" si="222">AQ237*$E$32</f>
        <v>8.4353904442398537</v>
      </c>
      <c r="AS237" s="125">
        <f t="shared" si="160"/>
        <v>275.37812602145038</v>
      </c>
      <c r="AT237" s="125">
        <f t="shared" si="159"/>
        <v>8.7019487822778334</v>
      </c>
      <c r="AU237" s="125">
        <f t="shared" si="171"/>
        <v>284.08007480372822</v>
      </c>
      <c r="AV237" s="125">
        <f t="shared" ref="AV237" si="223">AU237*$E$32</f>
        <v>8.9769303637978126</v>
      </c>
      <c r="AW237" s="125">
        <f t="shared" si="185"/>
        <v>293.05700516752603</v>
      </c>
      <c r="AX237" s="125">
        <f t="shared" si="184"/>
        <v>9.2606013632938229</v>
      </c>
      <c r="AY237" s="125">
        <f t="shared" si="197"/>
        <v>302.31760653081983</v>
      </c>
      <c r="AZ237" s="125">
        <f t="shared" ref="AZ237" si="224">AY237*$E$32</f>
        <v>9.5532363663739073</v>
      </c>
      <c r="BA237" s="125">
        <f t="shared" si="212"/>
        <v>311.87084289719371</v>
      </c>
      <c r="BB237" s="125">
        <f t="shared" si="211"/>
        <v>9.8551186355513227</v>
      </c>
      <c r="BC237" s="125">
        <f t="shared" ref="BC237:BC248" si="225">BA237+BB237</f>
        <v>321.72596153274503</v>
      </c>
      <c r="BD237" s="125">
        <f t="shared" ref="BD237" si="226">BC237*$E$32</f>
        <v>10.166540384434745</v>
      </c>
      <c r="BE237" s="125"/>
      <c r="BF237" s="125"/>
      <c r="BG237" s="125"/>
      <c r="BH237" s="125"/>
      <c r="BI237" s="125"/>
      <c r="BJ237" s="125"/>
      <c r="BK237" s="125"/>
      <c r="BL237" s="125"/>
      <c r="BM237" s="125"/>
      <c r="BN237" s="125"/>
      <c r="BO237" s="125"/>
      <c r="BP237" s="125"/>
      <c r="BQ237" s="125"/>
      <c r="BR237" s="125"/>
      <c r="BS237" s="125"/>
      <c r="BT237" s="125"/>
      <c r="BU237" s="125"/>
      <c r="BV237" s="125"/>
      <c r="BW237" s="125"/>
      <c r="BX237" s="125"/>
      <c r="BY237" s="125"/>
      <c r="BZ237" s="125"/>
      <c r="CA237" s="125">
        <f t="shared" si="25"/>
        <v>179.4120732118777</v>
      </c>
    </row>
    <row r="238" spans="2:79" s="38" customFormat="1" ht="15.95" customHeight="1" x14ac:dyDescent="0.25">
      <c r="B238" s="98">
        <f t="shared" si="31"/>
        <v>26</v>
      </c>
      <c r="C238" s="125">
        <f>'Os juros sobre juros'!$E$46</f>
        <v>331.89250191718025</v>
      </c>
      <c r="D238" s="125">
        <f t="shared" si="33"/>
        <v>147.80964395628396</v>
      </c>
      <c r="E238" s="125">
        <f t="shared" si="34"/>
        <v>184.08285796089629</v>
      </c>
      <c r="F238" s="15">
        <f t="shared" si="23"/>
        <v>1.245404921043856</v>
      </c>
      <c r="G238" s="125">
        <f t="shared" si="24"/>
        <v>147.80964395628396</v>
      </c>
      <c r="H238" s="125">
        <f t="shared" si="28"/>
        <v>4.6707847490185737</v>
      </c>
      <c r="I238" s="125">
        <f t="shared" si="35"/>
        <v>152.48042870530253</v>
      </c>
      <c r="J238" s="125">
        <f t="shared" ref="J238" si="227">I238*$E$32</f>
        <v>4.8183815470875606</v>
      </c>
      <c r="K238" s="125">
        <f t="shared" si="37"/>
        <v>157.2988102523901</v>
      </c>
      <c r="L238" s="125">
        <f t="shared" ref="L238" si="228">K238*$E$32</f>
        <v>4.9706424039755275</v>
      </c>
      <c r="M238" s="125">
        <f t="shared" si="39"/>
        <v>162.26945265636562</v>
      </c>
      <c r="N238" s="125">
        <f t="shared" si="151"/>
        <v>5.1277147039411544</v>
      </c>
      <c r="O238" s="125">
        <f t="shared" si="42"/>
        <v>167.39716736030678</v>
      </c>
      <c r="P238" s="125">
        <f t="shared" ref="P238" si="229">O238*$E$32</f>
        <v>5.2897504885856952</v>
      </c>
      <c r="Q238" s="125">
        <f t="shared" si="47"/>
        <v>172.68691784889248</v>
      </c>
      <c r="R238" s="125">
        <f t="shared" si="176"/>
        <v>5.4569066040250025</v>
      </c>
      <c r="S238" s="125">
        <f t="shared" si="51"/>
        <v>178.14382445291747</v>
      </c>
      <c r="T238" s="125">
        <f t="shared" ref="T238" si="230">S238*$E$32</f>
        <v>5.629344852712193</v>
      </c>
      <c r="U238" s="125">
        <f t="shared" si="57"/>
        <v>183.77316930562966</v>
      </c>
      <c r="V238" s="125">
        <f t="shared" si="203"/>
        <v>5.8072321500578976</v>
      </c>
      <c r="W238" s="125">
        <f t="shared" si="62"/>
        <v>189.58040145568756</v>
      </c>
      <c r="X238" s="125">
        <f t="shared" ref="X238" si="231">W238*$E$32</f>
        <v>5.9907406859997279</v>
      </c>
      <c r="Y238" s="125">
        <f t="shared" si="69"/>
        <v>195.57114214168729</v>
      </c>
      <c r="Z238" s="125">
        <f t="shared" ref="Z238:Z248" si="232">Y238*$E$32</f>
        <v>6.1800480916773193</v>
      </c>
      <c r="AA238" s="125">
        <f t="shared" si="75"/>
        <v>201.75119023336461</v>
      </c>
      <c r="AB238" s="125">
        <f t="shared" ref="AB238" si="233">AA238*$E$32</f>
        <v>6.3753376113743228</v>
      </c>
      <c r="AC238" s="125">
        <f t="shared" si="83"/>
        <v>208.12652784473894</v>
      </c>
      <c r="AD238" s="125">
        <f t="shared" si="82"/>
        <v>6.576798279893751</v>
      </c>
      <c r="AE238" s="125">
        <f t="shared" si="90"/>
        <v>214.7033261246327</v>
      </c>
      <c r="AF238" s="125">
        <f t="shared" ref="AF238" si="234">AE238*$E$32</f>
        <v>6.7846251055383942</v>
      </c>
      <c r="AG238" s="125">
        <f t="shared" si="99"/>
        <v>221.48795123017109</v>
      </c>
      <c r="AH238" s="125">
        <f t="shared" si="98"/>
        <v>6.9990192588734068</v>
      </c>
      <c r="AI238" s="125">
        <f t="shared" si="107"/>
        <v>228.4869704890445</v>
      </c>
      <c r="AJ238" s="125">
        <f t="shared" ref="AJ238" si="235">AI238*$E$32</f>
        <v>7.2201882674538069</v>
      </c>
      <c r="AK238" s="125">
        <f t="shared" si="117"/>
        <v>235.7071587564983</v>
      </c>
      <c r="AL238" s="125">
        <f t="shared" si="116"/>
        <v>7.4483462167053469</v>
      </c>
      <c r="AM238" s="125">
        <f t="shared" si="126"/>
        <v>243.15550497320365</v>
      </c>
      <c r="AN238" s="125">
        <f t="shared" ref="AN238" si="236">AM238*$E$32</f>
        <v>7.6837139571532358</v>
      </c>
      <c r="AO238" s="125">
        <f t="shared" si="137"/>
        <v>250.83921893035688</v>
      </c>
      <c r="AP238" s="125">
        <f t="shared" si="136"/>
        <v>7.9265193181992784</v>
      </c>
      <c r="AQ238" s="125">
        <f t="shared" si="147"/>
        <v>258.76573824855615</v>
      </c>
      <c r="AR238" s="125">
        <f t="shared" ref="AR238" si="237">AQ238*$E$32</f>
        <v>8.1769973286543749</v>
      </c>
      <c r="AS238" s="125">
        <f t="shared" si="160"/>
        <v>266.9427355772105</v>
      </c>
      <c r="AT238" s="125">
        <f t="shared" si="159"/>
        <v>8.435390444239852</v>
      </c>
      <c r="AU238" s="125">
        <f t="shared" si="171"/>
        <v>275.37812602145033</v>
      </c>
      <c r="AV238" s="125">
        <f t="shared" ref="AV238" si="238">AU238*$E$32</f>
        <v>8.7019487822778316</v>
      </c>
      <c r="AW238" s="125">
        <f t="shared" si="185"/>
        <v>284.08007480372817</v>
      </c>
      <c r="AX238" s="125">
        <f t="shared" si="184"/>
        <v>8.9769303637978108</v>
      </c>
      <c r="AY238" s="125">
        <f t="shared" si="197"/>
        <v>293.05700516752597</v>
      </c>
      <c r="AZ238" s="125">
        <f t="shared" ref="AZ238" si="239">AY238*$E$32</f>
        <v>9.2606013632938211</v>
      </c>
      <c r="BA238" s="125">
        <f t="shared" si="212"/>
        <v>302.31760653081977</v>
      </c>
      <c r="BB238" s="125">
        <f t="shared" si="211"/>
        <v>9.5532363663739055</v>
      </c>
      <c r="BC238" s="125">
        <f t="shared" si="225"/>
        <v>311.87084289719365</v>
      </c>
      <c r="BD238" s="125">
        <f t="shared" ref="BD238:BF248" si="240">BC238*$E$32</f>
        <v>9.8551186355513209</v>
      </c>
      <c r="BE238" s="125">
        <f t="shared" ref="BE238:BE248" si="241">BC238+BD238</f>
        <v>321.72596153274498</v>
      </c>
      <c r="BF238" s="125">
        <f t="shared" si="240"/>
        <v>10.166540384434743</v>
      </c>
      <c r="BG238" s="125"/>
      <c r="BH238" s="125"/>
      <c r="BI238" s="125"/>
      <c r="BJ238" s="125"/>
      <c r="BK238" s="125"/>
      <c r="BL238" s="125"/>
      <c r="BM238" s="125"/>
      <c r="BN238" s="125"/>
      <c r="BO238" s="125"/>
      <c r="BP238" s="125"/>
      <c r="BQ238" s="125"/>
      <c r="BR238" s="125"/>
      <c r="BS238" s="125"/>
      <c r="BT238" s="125"/>
      <c r="BU238" s="125"/>
      <c r="BV238" s="125"/>
      <c r="BW238" s="125"/>
      <c r="BX238" s="125"/>
      <c r="BY238" s="125"/>
      <c r="BZ238" s="125"/>
      <c r="CA238" s="125">
        <f t="shared" si="25"/>
        <v>184.08285796089629</v>
      </c>
    </row>
    <row r="239" spans="2:79" s="38" customFormat="1" ht="15.95" customHeight="1" x14ac:dyDescent="0.25">
      <c r="B239" s="98">
        <f t="shared" si="31"/>
        <v>27</v>
      </c>
      <c r="C239" s="125">
        <f>'Os juros sobre juros'!$E$46</f>
        <v>331.89250191718025</v>
      </c>
      <c r="D239" s="125">
        <f t="shared" si="33"/>
        <v>143.28193481609534</v>
      </c>
      <c r="E239" s="125">
        <f t="shared" si="34"/>
        <v>188.61056710108491</v>
      </c>
      <c r="F239" s="15">
        <f t="shared" si="23"/>
        <v>1.3163597165488419</v>
      </c>
      <c r="G239" s="125">
        <f t="shared" si="24"/>
        <v>143.28193481609534</v>
      </c>
      <c r="H239" s="125">
        <f t="shared" si="28"/>
        <v>4.5277091401886134</v>
      </c>
      <c r="I239" s="125">
        <f t="shared" si="35"/>
        <v>147.80964395628396</v>
      </c>
      <c r="J239" s="125">
        <f t="shared" ref="J239" si="242">I239*$E$32</f>
        <v>4.6707847490185737</v>
      </c>
      <c r="K239" s="125">
        <f t="shared" si="37"/>
        <v>152.48042870530253</v>
      </c>
      <c r="L239" s="125">
        <f t="shared" ref="L239" si="243">K239*$E$32</f>
        <v>4.8183815470875606</v>
      </c>
      <c r="M239" s="125">
        <f t="shared" si="39"/>
        <v>157.2988102523901</v>
      </c>
      <c r="N239" s="125">
        <f t="shared" si="151"/>
        <v>4.9706424039755275</v>
      </c>
      <c r="O239" s="125">
        <f t="shared" si="42"/>
        <v>162.26945265636562</v>
      </c>
      <c r="P239" s="125">
        <f t="shared" ref="P239" si="244">O239*$E$32</f>
        <v>5.1277147039411544</v>
      </c>
      <c r="Q239" s="125">
        <f t="shared" si="47"/>
        <v>167.39716736030678</v>
      </c>
      <c r="R239" s="125">
        <f t="shared" si="176"/>
        <v>5.2897504885856952</v>
      </c>
      <c r="S239" s="125">
        <f t="shared" si="51"/>
        <v>172.68691784889248</v>
      </c>
      <c r="T239" s="125">
        <f t="shared" ref="T239" si="245">S239*$E$32</f>
        <v>5.4569066040250025</v>
      </c>
      <c r="U239" s="125">
        <f t="shared" si="57"/>
        <v>178.14382445291747</v>
      </c>
      <c r="V239" s="125">
        <f t="shared" si="203"/>
        <v>5.629344852712193</v>
      </c>
      <c r="W239" s="125">
        <f t="shared" si="62"/>
        <v>183.77316930562966</v>
      </c>
      <c r="X239" s="125">
        <f t="shared" ref="X239" si="246">W239*$E$32</f>
        <v>5.8072321500578976</v>
      </c>
      <c r="Y239" s="125">
        <f t="shared" si="69"/>
        <v>189.58040145568756</v>
      </c>
      <c r="Z239" s="125">
        <f t="shared" si="232"/>
        <v>5.9907406859997279</v>
      </c>
      <c r="AA239" s="125">
        <f t="shared" si="75"/>
        <v>195.57114214168729</v>
      </c>
      <c r="AB239" s="125">
        <f t="shared" ref="AB239" si="247">AA239*$E$32</f>
        <v>6.1800480916773193</v>
      </c>
      <c r="AC239" s="125">
        <f t="shared" si="83"/>
        <v>201.75119023336461</v>
      </c>
      <c r="AD239" s="125">
        <f t="shared" si="82"/>
        <v>6.3753376113743228</v>
      </c>
      <c r="AE239" s="125">
        <f t="shared" si="90"/>
        <v>208.12652784473894</v>
      </c>
      <c r="AF239" s="125">
        <f t="shared" ref="AF239" si="248">AE239*$E$32</f>
        <v>6.576798279893751</v>
      </c>
      <c r="AG239" s="125">
        <f t="shared" si="99"/>
        <v>214.7033261246327</v>
      </c>
      <c r="AH239" s="125">
        <f t="shared" si="98"/>
        <v>6.7846251055383942</v>
      </c>
      <c r="AI239" s="125">
        <f t="shared" si="107"/>
        <v>221.48795123017109</v>
      </c>
      <c r="AJ239" s="125">
        <f t="shared" ref="AJ239" si="249">AI239*$E$32</f>
        <v>6.9990192588734068</v>
      </c>
      <c r="AK239" s="125">
        <f t="shared" si="117"/>
        <v>228.4869704890445</v>
      </c>
      <c r="AL239" s="125">
        <f t="shared" si="116"/>
        <v>7.2201882674538069</v>
      </c>
      <c r="AM239" s="125">
        <f t="shared" si="126"/>
        <v>235.7071587564983</v>
      </c>
      <c r="AN239" s="125">
        <f t="shared" ref="AN239" si="250">AM239*$E$32</f>
        <v>7.4483462167053469</v>
      </c>
      <c r="AO239" s="125">
        <f t="shared" si="137"/>
        <v>243.15550497320365</v>
      </c>
      <c r="AP239" s="125">
        <f t="shared" si="136"/>
        <v>7.6837139571532358</v>
      </c>
      <c r="AQ239" s="125">
        <f t="shared" si="147"/>
        <v>250.83921893035688</v>
      </c>
      <c r="AR239" s="125">
        <f t="shared" ref="AR239" si="251">AQ239*$E$32</f>
        <v>7.9265193181992784</v>
      </c>
      <c r="AS239" s="125">
        <f t="shared" si="160"/>
        <v>258.76573824855615</v>
      </c>
      <c r="AT239" s="125">
        <f t="shared" si="159"/>
        <v>8.1769973286543749</v>
      </c>
      <c r="AU239" s="125">
        <f t="shared" si="171"/>
        <v>266.9427355772105</v>
      </c>
      <c r="AV239" s="125">
        <f t="shared" ref="AV239" si="252">AU239*$E$32</f>
        <v>8.435390444239852</v>
      </c>
      <c r="AW239" s="125">
        <f t="shared" si="185"/>
        <v>275.37812602145033</v>
      </c>
      <c r="AX239" s="125">
        <f t="shared" si="184"/>
        <v>8.7019487822778316</v>
      </c>
      <c r="AY239" s="125">
        <f t="shared" si="197"/>
        <v>284.08007480372817</v>
      </c>
      <c r="AZ239" s="125">
        <f t="shared" ref="AZ239" si="253">AY239*$E$32</f>
        <v>8.9769303637978108</v>
      </c>
      <c r="BA239" s="125">
        <f t="shared" si="212"/>
        <v>293.05700516752597</v>
      </c>
      <c r="BB239" s="125">
        <f t="shared" si="211"/>
        <v>9.2606013632938211</v>
      </c>
      <c r="BC239" s="125">
        <f t="shared" si="225"/>
        <v>302.31760653081977</v>
      </c>
      <c r="BD239" s="125">
        <f t="shared" ref="BD239" si="254">BC239*$E$32</f>
        <v>9.5532363663739055</v>
      </c>
      <c r="BE239" s="125">
        <f t="shared" si="241"/>
        <v>311.87084289719365</v>
      </c>
      <c r="BF239" s="125">
        <f t="shared" si="240"/>
        <v>9.8551186355513209</v>
      </c>
      <c r="BG239" s="125">
        <f t="shared" ref="BG239:BG248" si="255">BE239+BF239</f>
        <v>321.72596153274498</v>
      </c>
      <c r="BH239" s="125">
        <f t="shared" ref="BH239" si="256">BG239*$E$32</f>
        <v>10.166540384434743</v>
      </c>
      <c r="BI239" s="125"/>
      <c r="BJ239" s="125"/>
      <c r="BK239" s="125"/>
      <c r="BL239" s="125"/>
      <c r="BM239" s="125"/>
      <c r="BN239" s="125"/>
      <c r="BO239" s="125"/>
      <c r="BP239" s="125"/>
      <c r="BQ239" s="125"/>
      <c r="BR239" s="125"/>
      <c r="BS239" s="125"/>
      <c r="BT239" s="125"/>
      <c r="BU239" s="125"/>
      <c r="BV239" s="125"/>
      <c r="BW239" s="125"/>
      <c r="BX239" s="125"/>
      <c r="BY239" s="125"/>
      <c r="BZ239" s="125"/>
      <c r="CA239" s="125">
        <f t="shared" si="25"/>
        <v>188.61056710108491</v>
      </c>
    </row>
    <row r="240" spans="2:79" s="38" customFormat="1" ht="15.95" customHeight="1" x14ac:dyDescent="0.25">
      <c r="B240" s="98">
        <f t="shared" si="31"/>
        <v>28</v>
      </c>
      <c r="C240" s="125">
        <f>'Os juros sobre juros'!$E$46</f>
        <v>331.89250191718025</v>
      </c>
      <c r="D240" s="125">
        <f t="shared" si="33"/>
        <v>138.89291858869265</v>
      </c>
      <c r="E240" s="125">
        <f t="shared" si="34"/>
        <v>192.9995833284876</v>
      </c>
      <c r="F240" s="15">
        <f t="shared" si="23"/>
        <v>1.3895566835917854</v>
      </c>
      <c r="G240" s="125">
        <f t="shared" si="24"/>
        <v>138.89291858869265</v>
      </c>
      <c r="H240" s="125">
        <f t="shared" si="28"/>
        <v>4.3890162274026885</v>
      </c>
      <c r="I240" s="125">
        <f t="shared" si="35"/>
        <v>143.28193481609534</v>
      </c>
      <c r="J240" s="125">
        <f t="shared" ref="J240" si="257">I240*$E$32</f>
        <v>4.5277091401886134</v>
      </c>
      <c r="K240" s="125">
        <f t="shared" si="37"/>
        <v>147.80964395628396</v>
      </c>
      <c r="L240" s="125">
        <f t="shared" ref="L240" si="258">K240*$E$32</f>
        <v>4.6707847490185737</v>
      </c>
      <c r="M240" s="125">
        <f t="shared" si="39"/>
        <v>152.48042870530253</v>
      </c>
      <c r="N240" s="125">
        <f t="shared" si="151"/>
        <v>4.8183815470875606</v>
      </c>
      <c r="O240" s="125">
        <f t="shared" si="42"/>
        <v>157.2988102523901</v>
      </c>
      <c r="P240" s="125">
        <f t="shared" ref="P240" si="259">O240*$E$32</f>
        <v>4.9706424039755275</v>
      </c>
      <c r="Q240" s="125">
        <f t="shared" si="47"/>
        <v>162.26945265636562</v>
      </c>
      <c r="R240" s="125">
        <f t="shared" si="176"/>
        <v>5.1277147039411544</v>
      </c>
      <c r="S240" s="125">
        <f t="shared" si="51"/>
        <v>167.39716736030678</v>
      </c>
      <c r="T240" s="125">
        <f t="shared" ref="T240" si="260">S240*$E$32</f>
        <v>5.2897504885856952</v>
      </c>
      <c r="U240" s="125">
        <f t="shared" si="57"/>
        <v>172.68691784889248</v>
      </c>
      <c r="V240" s="125">
        <f t="shared" si="203"/>
        <v>5.4569066040250025</v>
      </c>
      <c r="W240" s="125">
        <f t="shared" si="62"/>
        <v>178.14382445291747</v>
      </c>
      <c r="X240" s="125">
        <f t="shared" ref="X240" si="261">W240*$E$32</f>
        <v>5.629344852712193</v>
      </c>
      <c r="Y240" s="125">
        <f t="shared" si="69"/>
        <v>183.77316930562966</v>
      </c>
      <c r="Z240" s="125">
        <f t="shared" si="232"/>
        <v>5.8072321500578976</v>
      </c>
      <c r="AA240" s="125">
        <f t="shared" si="75"/>
        <v>189.58040145568756</v>
      </c>
      <c r="AB240" s="125">
        <f t="shared" ref="AB240" si="262">AA240*$E$32</f>
        <v>5.9907406859997279</v>
      </c>
      <c r="AC240" s="125">
        <f t="shared" si="83"/>
        <v>195.57114214168729</v>
      </c>
      <c r="AD240" s="125">
        <f t="shared" ref="AD240:AD248" si="263">AC240*$E$32</f>
        <v>6.1800480916773193</v>
      </c>
      <c r="AE240" s="125">
        <f t="shared" si="90"/>
        <v>201.75119023336461</v>
      </c>
      <c r="AF240" s="125">
        <f t="shared" ref="AF240" si="264">AE240*$E$32</f>
        <v>6.3753376113743228</v>
      </c>
      <c r="AG240" s="125">
        <f t="shared" si="99"/>
        <v>208.12652784473894</v>
      </c>
      <c r="AH240" s="125">
        <f t="shared" si="98"/>
        <v>6.576798279893751</v>
      </c>
      <c r="AI240" s="125">
        <f t="shared" si="107"/>
        <v>214.7033261246327</v>
      </c>
      <c r="AJ240" s="125">
        <f t="shared" ref="AJ240" si="265">AI240*$E$32</f>
        <v>6.7846251055383942</v>
      </c>
      <c r="AK240" s="125">
        <f t="shared" si="117"/>
        <v>221.48795123017109</v>
      </c>
      <c r="AL240" s="125">
        <f t="shared" si="116"/>
        <v>6.9990192588734068</v>
      </c>
      <c r="AM240" s="125">
        <f t="shared" si="126"/>
        <v>228.4869704890445</v>
      </c>
      <c r="AN240" s="125">
        <f t="shared" ref="AN240" si="266">AM240*$E$32</f>
        <v>7.2201882674538069</v>
      </c>
      <c r="AO240" s="125">
        <f t="shared" si="137"/>
        <v>235.7071587564983</v>
      </c>
      <c r="AP240" s="125">
        <f t="shared" si="136"/>
        <v>7.4483462167053469</v>
      </c>
      <c r="AQ240" s="125">
        <f t="shared" si="147"/>
        <v>243.15550497320365</v>
      </c>
      <c r="AR240" s="125">
        <f t="shared" ref="AR240" si="267">AQ240*$E$32</f>
        <v>7.6837139571532358</v>
      </c>
      <c r="AS240" s="125">
        <f t="shared" si="160"/>
        <v>250.83921893035688</v>
      </c>
      <c r="AT240" s="125">
        <f t="shared" si="159"/>
        <v>7.9265193181992784</v>
      </c>
      <c r="AU240" s="125">
        <f t="shared" si="171"/>
        <v>258.76573824855615</v>
      </c>
      <c r="AV240" s="125">
        <f t="shared" ref="AV240" si="268">AU240*$E$32</f>
        <v>8.1769973286543749</v>
      </c>
      <c r="AW240" s="125">
        <f t="shared" si="185"/>
        <v>266.9427355772105</v>
      </c>
      <c r="AX240" s="125">
        <f t="shared" si="184"/>
        <v>8.435390444239852</v>
      </c>
      <c r="AY240" s="125">
        <f t="shared" si="197"/>
        <v>275.37812602145033</v>
      </c>
      <c r="AZ240" s="125">
        <f t="shared" ref="AZ240" si="269">AY240*$E$32</f>
        <v>8.7019487822778316</v>
      </c>
      <c r="BA240" s="125">
        <f t="shared" si="212"/>
        <v>284.08007480372817</v>
      </c>
      <c r="BB240" s="125">
        <f t="shared" si="211"/>
        <v>8.9769303637978108</v>
      </c>
      <c r="BC240" s="125">
        <f t="shared" si="225"/>
        <v>293.05700516752597</v>
      </c>
      <c r="BD240" s="125">
        <f t="shared" ref="BD240" si="270">BC240*$E$32</f>
        <v>9.2606013632938211</v>
      </c>
      <c r="BE240" s="125">
        <f t="shared" si="241"/>
        <v>302.31760653081977</v>
      </c>
      <c r="BF240" s="125">
        <f t="shared" si="240"/>
        <v>9.5532363663739055</v>
      </c>
      <c r="BG240" s="125">
        <f t="shared" si="255"/>
        <v>311.87084289719365</v>
      </c>
      <c r="BH240" s="125">
        <f t="shared" ref="BH240:BJ248" si="271">BG240*$E$32</f>
        <v>9.8551186355513209</v>
      </c>
      <c r="BI240" s="125">
        <f t="shared" ref="BI240:BI248" si="272">BG240+BH240</f>
        <v>321.72596153274498</v>
      </c>
      <c r="BJ240" s="125">
        <f t="shared" si="271"/>
        <v>10.166540384434743</v>
      </c>
      <c r="BK240" s="125"/>
      <c r="BL240" s="125"/>
      <c r="BM240" s="125"/>
      <c r="BN240" s="125"/>
      <c r="BO240" s="125"/>
      <c r="BP240" s="125"/>
      <c r="BQ240" s="125"/>
      <c r="BR240" s="125"/>
      <c r="BS240" s="125"/>
      <c r="BT240" s="125"/>
      <c r="BU240" s="125"/>
      <c r="BV240" s="125"/>
      <c r="BW240" s="125"/>
      <c r="BX240" s="125"/>
      <c r="BY240" s="125"/>
      <c r="BZ240" s="125"/>
      <c r="CA240" s="125">
        <f t="shared" si="25"/>
        <v>192.9995833284876</v>
      </c>
    </row>
    <row r="241" spans="2:79" s="38" customFormat="1" ht="15.95" customHeight="1" x14ac:dyDescent="0.25">
      <c r="B241" s="98">
        <f t="shared" si="31"/>
        <v>29</v>
      </c>
      <c r="C241" s="125">
        <f>'Os juros sobre juros'!$E$46</f>
        <v>331.89250191718025</v>
      </c>
      <c r="D241" s="125">
        <f t="shared" si="33"/>
        <v>134.63834682889942</v>
      </c>
      <c r="E241" s="125">
        <f t="shared" si="34"/>
        <v>197.25415508828084</v>
      </c>
      <c r="F241" s="15">
        <f t="shared" si="23"/>
        <v>1.4650666747932861</v>
      </c>
      <c r="G241" s="125">
        <f t="shared" si="24"/>
        <v>134.63834682889942</v>
      </c>
      <c r="H241" s="125">
        <f t="shared" si="28"/>
        <v>4.2545717597932216</v>
      </c>
      <c r="I241" s="125">
        <f t="shared" si="35"/>
        <v>138.89291858869262</v>
      </c>
      <c r="J241" s="125">
        <f t="shared" ref="J241" si="273">I241*$E$32</f>
        <v>4.3890162274026876</v>
      </c>
      <c r="K241" s="125">
        <f t="shared" si="37"/>
        <v>143.28193481609532</v>
      </c>
      <c r="L241" s="125">
        <f t="shared" ref="L241" si="274">K241*$E$32</f>
        <v>4.5277091401886125</v>
      </c>
      <c r="M241" s="125">
        <f t="shared" si="39"/>
        <v>147.80964395628394</v>
      </c>
      <c r="N241" s="125">
        <f t="shared" si="151"/>
        <v>4.6707847490185728</v>
      </c>
      <c r="O241" s="125">
        <f t="shared" si="42"/>
        <v>152.4804287053025</v>
      </c>
      <c r="P241" s="125">
        <f t="shared" ref="P241" si="275">O241*$E$32</f>
        <v>4.8183815470875597</v>
      </c>
      <c r="Q241" s="125">
        <f t="shared" si="47"/>
        <v>157.29881025239007</v>
      </c>
      <c r="R241" s="125">
        <f t="shared" si="176"/>
        <v>4.9706424039755266</v>
      </c>
      <c r="S241" s="125">
        <f t="shared" si="51"/>
        <v>162.26945265636559</v>
      </c>
      <c r="T241" s="125">
        <f t="shared" ref="T241" si="276">S241*$E$32</f>
        <v>5.1277147039411535</v>
      </c>
      <c r="U241" s="125">
        <f t="shared" si="57"/>
        <v>167.39716736030675</v>
      </c>
      <c r="V241" s="125">
        <f t="shared" si="203"/>
        <v>5.2897504885856943</v>
      </c>
      <c r="W241" s="125">
        <f t="shared" si="62"/>
        <v>172.68691784889245</v>
      </c>
      <c r="X241" s="125">
        <f t="shared" ref="X241" si="277">W241*$E$32</f>
        <v>5.4569066040250016</v>
      </c>
      <c r="Y241" s="125">
        <f t="shared" si="69"/>
        <v>178.14382445291744</v>
      </c>
      <c r="Z241" s="125">
        <f t="shared" si="232"/>
        <v>5.6293448527121921</v>
      </c>
      <c r="AA241" s="125">
        <f t="shared" si="75"/>
        <v>183.77316930562964</v>
      </c>
      <c r="AB241" s="125">
        <f t="shared" ref="AB241" si="278">AA241*$E$32</f>
        <v>5.8072321500578967</v>
      </c>
      <c r="AC241" s="125">
        <f t="shared" si="83"/>
        <v>189.58040145568754</v>
      </c>
      <c r="AD241" s="125">
        <f t="shared" si="263"/>
        <v>5.990740685999727</v>
      </c>
      <c r="AE241" s="125">
        <f t="shared" si="90"/>
        <v>195.57114214168726</v>
      </c>
      <c r="AF241" s="125">
        <f t="shared" ref="AF241" si="279">AE241*$E$32</f>
        <v>6.1800480916773184</v>
      </c>
      <c r="AG241" s="125">
        <f t="shared" si="99"/>
        <v>201.75119023336458</v>
      </c>
      <c r="AH241" s="125">
        <f t="shared" si="98"/>
        <v>6.375337611374321</v>
      </c>
      <c r="AI241" s="125">
        <f t="shared" si="107"/>
        <v>208.12652784473892</v>
      </c>
      <c r="AJ241" s="125">
        <f t="shared" ref="AJ241" si="280">AI241*$E$32</f>
        <v>6.5767982798937501</v>
      </c>
      <c r="AK241" s="125">
        <f t="shared" si="117"/>
        <v>214.70332612463267</v>
      </c>
      <c r="AL241" s="125">
        <f t="shared" si="116"/>
        <v>6.7846251055383933</v>
      </c>
      <c r="AM241" s="125">
        <f t="shared" si="126"/>
        <v>221.48795123017106</v>
      </c>
      <c r="AN241" s="125">
        <f t="shared" ref="AN241" si="281">AM241*$E$32</f>
        <v>6.9990192588734059</v>
      </c>
      <c r="AO241" s="125">
        <f t="shared" si="137"/>
        <v>228.48697048904447</v>
      </c>
      <c r="AP241" s="125">
        <f t="shared" si="136"/>
        <v>7.220188267453806</v>
      </c>
      <c r="AQ241" s="125">
        <f t="shared" si="147"/>
        <v>235.70715875649827</v>
      </c>
      <c r="AR241" s="125">
        <f t="shared" ref="AR241" si="282">AQ241*$E$32</f>
        <v>7.448346216705346</v>
      </c>
      <c r="AS241" s="125">
        <f t="shared" si="160"/>
        <v>243.15550497320362</v>
      </c>
      <c r="AT241" s="125">
        <f t="shared" si="159"/>
        <v>7.6837139571532349</v>
      </c>
      <c r="AU241" s="125">
        <f t="shared" si="171"/>
        <v>250.83921893035685</v>
      </c>
      <c r="AV241" s="125">
        <f t="shared" ref="AV241" si="283">AU241*$E$32</f>
        <v>7.9265193181992775</v>
      </c>
      <c r="AW241" s="125">
        <f t="shared" si="185"/>
        <v>258.76573824855615</v>
      </c>
      <c r="AX241" s="125">
        <f t="shared" si="184"/>
        <v>8.1769973286543749</v>
      </c>
      <c r="AY241" s="125">
        <f t="shared" si="197"/>
        <v>266.9427355772105</v>
      </c>
      <c r="AZ241" s="125">
        <f t="shared" ref="AZ241" si="284">AY241*$E$32</f>
        <v>8.435390444239852</v>
      </c>
      <c r="BA241" s="125">
        <f t="shared" si="212"/>
        <v>275.37812602145033</v>
      </c>
      <c r="BB241" s="125">
        <f t="shared" si="211"/>
        <v>8.7019487822778316</v>
      </c>
      <c r="BC241" s="125">
        <f t="shared" si="225"/>
        <v>284.08007480372817</v>
      </c>
      <c r="BD241" s="125">
        <f t="shared" ref="BD241" si="285">BC241*$E$32</f>
        <v>8.9769303637978108</v>
      </c>
      <c r="BE241" s="125">
        <f t="shared" si="241"/>
        <v>293.05700516752597</v>
      </c>
      <c r="BF241" s="125">
        <f t="shared" si="240"/>
        <v>9.2606013632938211</v>
      </c>
      <c r="BG241" s="125">
        <f t="shared" si="255"/>
        <v>302.31760653081977</v>
      </c>
      <c r="BH241" s="125">
        <f t="shared" ref="BH241" si="286">BG241*$E$32</f>
        <v>9.5532363663739055</v>
      </c>
      <c r="BI241" s="125">
        <f t="shared" si="272"/>
        <v>311.87084289719365</v>
      </c>
      <c r="BJ241" s="125">
        <f t="shared" si="271"/>
        <v>9.8551186355513209</v>
      </c>
      <c r="BK241" s="125">
        <f t="shared" ref="BK241:BK248" si="287">BI241+BJ241</f>
        <v>321.72596153274498</v>
      </c>
      <c r="BL241" s="125">
        <f t="shared" ref="BL241" si="288">BK241*$E$32</f>
        <v>10.166540384434743</v>
      </c>
      <c r="BM241" s="125"/>
      <c r="BN241" s="125"/>
      <c r="BO241" s="125"/>
      <c r="BP241" s="125"/>
      <c r="BQ241" s="125"/>
      <c r="BR241" s="125"/>
      <c r="BS241" s="125"/>
      <c r="BT241" s="125"/>
      <c r="BU241" s="125"/>
      <c r="BV241" s="125"/>
      <c r="BW241" s="125"/>
      <c r="BX241" s="125"/>
      <c r="BY241" s="125"/>
      <c r="BZ241" s="125"/>
      <c r="CA241" s="125">
        <f t="shared" si="25"/>
        <v>197.25415508828084</v>
      </c>
    </row>
    <row r="242" spans="2:79" s="38" customFormat="1" ht="15.95" customHeight="1" x14ac:dyDescent="0.25">
      <c r="B242" s="98">
        <f t="shared" si="31"/>
        <v>30</v>
      </c>
      <c r="C242" s="125">
        <f>'Os juros sobre juros'!$E$46</f>
        <v>331.89250191718025</v>
      </c>
      <c r="D242" s="125">
        <f t="shared" si="33"/>
        <v>130.51410123003046</v>
      </c>
      <c r="E242" s="125">
        <f t="shared" si="34"/>
        <v>201.37840068714979</v>
      </c>
      <c r="F242" s="15">
        <f t="shared" si="23"/>
        <v>1.5429627817167537</v>
      </c>
      <c r="G242" s="125">
        <f t="shared" si="24"/>
        <v>130.51410123003046</v>
      </c>
      <c r="H242" s="125">
        <f t="shared" si="28"/>
        <v>4.1242455988689626</v>
      </c>
      <c r="I242" s="125">
        <f t="shared" si="35"/>
        <v>134.63834682889942</v>
      </c>
      <c r="J242" s="125">
        <f t="shared" ref="J242" si="289">I242*$E$32</f>
        <v>4.2545717597932216</v>
      </c>
      <c r="K242" s="125">
        <f t="shared" si="37"/>
        <v>138.89291858869262</v>
      </c>
      <c r="L242" s="125">
        <f t="shared" ref="L242" si="290">K242*$E$32</f>
        <v>4.3890162274026876</v>
      </c>
      <c r="M242" s="125">
        <f t="shared" si="39"/>
        <v>143.28193481609532</v>
      </c>
      <c r="N242" s="125">
        <f t="shared" si="151"/>
        <v>4.5277091401886125</v>
      </c>
      <c r="O242" s="125">
        <f t="shared" si="42"/>
        <v>147.80964395628394</v>
      </c>
      <c r="P242" s="125">
        <f t="shared" ref="P242" si="291">O242*$E$32</f>
        <v>4.6707847490185728</v>
      </c>
      <c r="Q242" s="125">
        <f t="shared" si="47"/>
        <v>152.4804287053025</v>
      </c>
      <c r="R242" s="125">
        <f t="shared" si="176"/>
        <v>4.8183815470875597</v>
      </c>
      <c r="S242" s="125">
        <f t="shared" si="51"/>
        <v>157.29881025239007</v>
      </c>
      <c r="T242" s="125">
        <f t="shared" ref="T242" si="292">S242*$E$32</f>
        <v>4.9706424039755266</v>
      </c>
      <c r="U242" s="125">
        <f t="shared" si="57"/>
        <v>162.26945265636559</v>
      </c>
      <c r="V242" s="125">
        <f t="shared" si="203"/>
        <v>5.1277147039411535</v>
      </c>
      <c r="W242" s="125">
        <f t="shared" si="62"/>
        <v>167.39716736030675</v>
      </c>
      <c r="X242" s="125">
        <f t="shared" ref="X242" si="293">W242*$E$32</f>
        <v>5.2897504885856943</v>
      </c>
      <c r="Y242" s="125">
        <f t="shared" si="69"/>
        <v>172.68691784889245</v>
      </c>
      <c r="Z242" s="125">
        <f t="shared" si="232"/>
        <v>5.4569066040250016</v>
      </c>
      <c r="AA242" s="125">
        <f t="shared" si="75"/>
        <v>178.14382445291744</v>
      </c>
      <c r="AB242" s="125">
        <f t="shared" ref="AB242" si="294">AA242*$E$32</f>
        <v>5.6293448527121921</v>
      </c>
      <c r="AC242" s="125">
        <f t="shared" si="83"/>
        <v>183.77316930562964</v>
      </c>
      <c r="AD242" s="125">
        <f t="shared" si="263"/>
        <v>5.8072321500578967</v>
      </c>
      <c r="AE242" s="125">
        <f t="shared" si="90"/>
        <v>189.58040145568754</v>
      </c>
      <c r="AF242" s="125">
        <f t="shared" ref="AF242" si="295">AE242*$E$32</f>
        <v>5.990740685999727</v>
      </c>
      <c r="AG242" s="125">
        <f t="shared" si="99"/>
        <v>195.57114214168726</v>
      </c>
      <c r="AH242" s="125">
        <f t="shared" ref="AH242:AH248" si="296">AG242*$E$32</f>
        <v>6.1800480916773184</v>
      </c>
      <c r="AI242" s="125">
        <f t="shared" si="107"/>
        <v>201.75119023336458</v>
      </c>
      <c r="AJ242" s="125">
        <f t="shared" ref="AJ242" si="297">AI242*$E$32</f>
        <v>6.375337611374321</v>
      </c>
      <c r="AK242" s="125">
        <f t="shared" si="117"/>
        <v>208.12652784473892</v>
      </c>
      <c r="AL242" s="125">
        <f t="shared" si="116"/>
        <v>6.5767982798937501</v>
      </c>
      <c r="AM242" s="125">
        <f t="shared" si="126"/>
        <v>214.70332612463267</v>
      </c>
      <c r="AN242" s="125">
        <f t="shared" ref="AN242" si="298">AM242*$E$32</f>
        <v>6.7846251055383933</v>
      </c>
      <c r="AO242" s="125">
        <f t="shared" si="137"/>
        <v>221.48795123017106</v>
      </c>
      <c r="AP242" s="125">
        <f t="shared" si="136"/>
        <v>6.9990192588734059</v>
      </c>
      <c r="AQ242" s="125">
        <f t="shared" si="147"/>
        <v>228.48697048904447</v>
      </c>
      <c r="AR242" s="125">
        <f t="shared" ref="AR242" si="299">AQ242*$E$32</f>
        <v>7.220188267453806</v>
      </c>
      <c r="AS242" s="125">
        <f t="shared" si="160"/>
        <v>235.70715875649827</v>
      </c>
      <c r="AT242" s="125">
        <f t="shared" si="159"/>
        <v>7.448346216705346</v>
      </c>
      <c r="AU242" s="125">
        <f t="shared" si="171"/>
        <v>243.15550497320362</v>
      </c>
      <c r="AV242" s="125">
        <f t="shared" ref="AV242" si="300">AU242*$E$32</f>
        <v>7.6837139571532349</v>
      </c>
      <c r="AW242" s="125">
        <f t="shared" si="185"/>
        <v>250.83921893035685</v>
      </c>
      <c r="AX242" s="125">
        <f t="shared" si="184"/>
        <v>7.9265193181992775</v>
      </c>
      <c r="AY242" s="125">
        <f t="shared" si="197"/>
        <v>258.76573824855615</v>
      </c>
      <c r="AZ242" s="125">
        <f t="shared" ref="AZ242" si="301">AY242*$E$32</f>
        <v>8.1769973286543749</v>
      </c>
      <c r="BA242" s="125">
        <f t="shared" si="212"/>
        <v>266.9427355772105</v>
      </c>
      <c r="BB242" s="125">
        <f t="shared" si="211"/>
        <v>8.435390444239852</v>
      </c>
      <c r="BC242" s="125">
        <f t="shared" si="225"/>
        <v>275.37812602145033</v>
      </c>
      <c r="BD242" s="125">
        <f t="shared" ref="BD242" si="302">BC242*$E$32</f>
        <v>8.7019487822778316</v>
      </c>
      <c r="BE242" s="125">
        <f t="shared" si="241"/>
        <v>284.08007480372817</v>
      </c>
      <c r="BF242" s="125">
        <f t="shared" si="240"/>
        <v>8.9769303637978108</v>
      </c>
      <c r="BG242" s="125">
        <f t="shared" si="255"/>
        <v>293.05700516752597</v>
      </c>
      <c r="BH242" s="125">
        <f t="shared" ref="BH242" si="303">BG242*$E$32</f>
        <v>9.2606013632938211</v>
      </c>
      <c r="BI242" s="125">
        <f t="shared" si="272"/>
        <v>302.31760653081977</v>
      </c>
      <c r="BJ242" s="125">
        <f t="shared" si="271"/>
        <v>9.5532363663739055</v>
      </c>
      <c r="BK242" s="125">
        <f t="shared" si="287"/>
        <v>311.87084289719365</v>
      </c>
      <c r="BL242" s="125">
        <f t="shared" ref="BL242:BN248" si="304">BK242*$E$32</f>
        <v>9.8551186355513209</v>
      </c>
      <c r="BM242" s="125">
        <f t="shared" ref="BM242:BM248" si="305">BK242+BL242</f>
        <v>321.72596153274498</v>
      </c>
      <c r="BN242" s="125">
        <f t="shared" si="304"/>
        <v>10.166540384434743</v>
      </c>
      <c r="BO242" s="125"/>
      <c r="BP242" s="125"/>
      <c r="BQ242" s="125"/>
      <c r="BR242" s="125"/>
      <c r="BS242" s="125"/>
      <c r="BT242" s="125"/>
      <c r="BU242" s="125"/>
      <c r="BV242" s="125"/>
      <c r="BW242" s="125"/>
      <c r="BX242" s="125"/>
      <c r="BY242" s="125"/>
      <c r="BZ242" s="125"/>
      <c r="CA242" s="125">
        <f t="shared" si="25"/>
        <v>201.37840068714979</v>
      </c>
    </row>
    <row r="243" spans="2:79" s="38" customFormat="1" ht="15.95" customHeight="1" x14ac:dyDescent="0.25">
      <c r="B243" s="98">
        <f t="shared" si="31"/>
        <v>31</v>
      </c>
      <c r="C243" s="125">
        <f>'Os juros sobre juros'!$E$46</f>
        <v>331.89250191718025</v>
      </c>
      <c r="D243" s="125">
        <f t="shared" si="33"/>
        <v>126.51618963748589</v>
      </c>
      <c r="E243" s="125">
        <f t="shared" si="34"/>
        <v>205.37631227969436</v>
      </c>
      <c r="F243" s="15">
        <f t="shared" si="23"/>
        <v>1.6233204056190034</v>
      </c>
      <c r="G243" s="125">
        <f t="shared" si="24"/>
        <v>126.51618963748589</v>
      </c>
      <c r="H243" s="125">
        <f t="shared" si="28"/>
        <v>3.9979115925445545</v>
      </c>
      <c r="I243" s="125">
        <f t="shared" si="35"/>
        <v>130.51410123003046</v>
      </c>
      <c r="J243" s="125">
        <f t="shared" ref="J243" si="306">I243*$E$32</f>
        <v>4.1242455988689626</v>
      </c>
      <c r="K243" s="125">
        <f t="shared" si="37"/>
        <v>134.63834682889942</v>
      </c>
      <c r="L243" s="125">
        <f t="shared" ref="L243" si="307">K243*$E$32</f>
        <v>4.2545717597932216</v>
      </c>
      <c r="M243" s="125">
        <f t="shared" si="39"/>
        <v>138.89291858869262</v>
      </c>
      <c r="N243" s="125">
        <f t="shared" si="151"/>
        <v>4.3890162274026876</v>
      </c>
      <c r="O243" s="125">
        <f t="shared" si="42"/>
        <v>143.28193481609532</v>
      </c>
      <c r="P243" s="125">
        <f t="shared" ref="P243" si="308">O243*$E$32</f>
        <v>4.5277091401886125</v>
      </c>
      <c r="Q243" s="125">
        <f t="shared" si="47"/>
        <v>147.80964395628394</v>
      </c>
      <c r="R243" s="125">
        <f t="shared" si="176"/>
        <v>4.6707847490185728</v>
      </c>
      <c r="S243" s="125">
        <f t="shared" si="51"/>
        <v>152.4804287053025</v>
      </c>
      <c r="T243" s="125">
        <f t="shared" ref="T243" si="309">S243*$E$32</f>
        <v>4.8183815470875597</v>
      </c>
      <c r="U243" s="125">
        <f t="shared" si="57"/>
        <v>157.29881025239007</v>
      </c>
      <c r="V243" s="125">
        <f t="shared" si="203"/>
        <v>4.9706424039755266</v>
      </c>
      <c r="W243" s="125">
        <f t="shared" si="62"/>
        <v>162.26945265636559</v>
      </c>
      <c r="X243" s="125">
        <f t="shared" ref="X243" si="310">W243*$E$32</f>
        <v>5.1277147039411535</v>
      </c>
      <c r="Y243" s="125">
        <f t="shared" si="69"/>
        <v>167.39716736030675</v>
      </c>
      <c r="Z243" s="125">
        <f t="shared" si="232"/>
        <v>5.2897504885856943</v>
      </c>
      <c r="AA243" s="125">
        <f t="shared" si="75"/>
        <v>172.68691784889245</v>
      </c>
      <c r="AB243" s="125">
        <f t="shared" ref="AB243" si="311">AA243*$E$32</f>
        <v>5.4569066040250016</v>
      </c>
      <c r="AC243" s="125">
        <f t="shared" si="83"/>
        <v>178.14382445291744</v>
      </c>
      <c r="AD243" s="125">
        <f t="shared" si="263"/>
        <v>5.6293448527121921</v>
      </c>
      <c r="AE243" s="125">
        <f t="shared" si="90"/>
        <v>183.77316930562964</v>
      </c>
      <c r="AF243" s="125">
        <f t="shared" ref="AF243" si="312">AE243*$E$32</f>
        <v>5.8072321500578967</v>
      </c>
      <c r="AG243" s="125">
        <f t="shared" si="99"/>
        <v>189.58040145568754</v>
      </c>
      <c r="AH243" s="125">
        <f t="shared" si="296"/>
        <v>5.990740685999727</v>
      </c>
      <c r="AI243" s="125">
        <f t="shared" si="107"/>
        <v>195.57114214168726</v>
      </c>
      <c r="AJ243" s="125">
        <f t="shared" ref="AJ243" si="313">AI243*$E$32</f>
        <v>6.1800480916773184</v>
      </c>
      <c r="AK243" s="125">
        <f t="shared" si="117"/>
        <v>201.75119023336458</v>
      </c>
      <c r="AL243" s="125">
        <f t="shared" si="116"/>
        <v>6.375337611374321</v>
      </c>
      <c r="AM243" s="125">
        <f t="shared" si="126"/>
        <v>208.12652784473892</v>
      </c>
      <c r="AN243" s="125">
        <f t="shared" ref="AN243" si="314">AM243*$E$32</f>
        <v>6.5767982798937501</v>
      </c>
      <c r="AO243" s="125">
        <f t="shared" si="137"/>
        <v>214.70332612463267</v>
      </c>
      <c r="AP243" s="125">
        <f t="shared" si="136"/>
        <v>6.7846251055383933</v>
      </c>
      <c r="AQ243" s="125">
        <f t="shared" si="147"/>
        <v>221.48795123017106</v>
      </c>
      <c r="AR243" s="125">
        <f t="shared" ref="AR243" si="315">AQ243*$E$32</f>
        <v>6.9990192588734059</v>
      </c>
      <c r="AS243" s="125">
        <f t="shared" si="160"/>
        <v>228.48697048904447</v>
      </c>
      <c r="AT243" s="125">
        <f t="shared" si="159"/>
        <v>7.220188267453806</v>
      </c>
      <c r="AU243" s="125">
        <f t="shared" si="171"/>
        <v>235.70715875649827</v>
      </c>
      <c r="AV243" s="125">
        <f t="shared" ref="AV243" si="316">AU243*$E$32</f>
        <v>7.448346216705346</v>
      </c>
      <c r="AW243" s="125">
        <f t="shared" si="185"/>
        <v>243.15550497320362</v>
      </c>
      <c r="AX243" s="125">
        <f t="shared" si="184"/>
        <v>7.6837139571532349</v>
      </c>
      <c r="AY243" s="125">
        <f t="shared" si="197"/>
        <v>250.83921893035685</v>
      </c>
      <c r="AZ243" s="125">
        <f t="shared" ref="AZ243" si="317">AY243*$E$32</f>
        <v>7.9265193181992775</v>
      </c>
      <c r="BA243" s="125">
        <f t="shared" si="212"/>
        <v>258.76573824855615</v>
      </c>
      <c r="BB243" s="125">
        <f t="shared" si="211"/>
        <v>8.1769973286543749</v>
      </c>
      <c r="BC243" s="125">
        <f t="shared" si="225"/>
        <v>266.9427355772105</v>
      </c>
      <c r="BD243" s="125">
        <f t="shared" ref="BD243" si="318">BC243*$E$32</f>
        <v>8.435390444239852</v>
      </c>
      <c r="BE243" s="125">
        <f t="shared" si="241"/>
        <v>275.37812602145033</v>
      </c>
      <c r="BF243" s="125">
        <f t="shared" si="240"/>
        <v>8.7019487822778316</v>
      </c>
      <c r="BG243" s="125">
        <f t="shared" si="255"/>
        <v>284.08007480372817</v>
      </c>
      <c r="BH243" s="125">
        <f t="shared" ref="BH243" si="319">BG243*$E$32</f>
        <v>8.9769303637978108</v>
      </c>
      <c r="BI243" s="125">
        <f t="shared" si="272"/>
        <v>293.05700516752597</v>
      </c>
      <c r="BJ243" s="125">
        <f t="shared" si="271"/>
        <v>9.2606013632938211</v>
      </c>
      <c r="BK243" s="125">
        <f t="shared" si="287"/>
        <v>302.31760653081977</v>
      </c>
      <c r="BL243" s="125">
        <f t="shared" ref="BL243" si="320">BK243*$E$32</f>
        <v>9.5532363663739055</v>
      </c>
      <c r="BM243" s="125">
        <f t="shared" si="305"/>
        <v>311.87084289719365</v>
      </c>
      <c r="BN243" s="125">
        <f t="shared" si="304"/>
        <v>9.8551186355513209</v>
      </c>
      <c r="BO243" s="125">
        <f t="shared" ref="BO243:BO248" si="321">BM243+BN243</f>
        <v>321.72596153274498</v>
      </c>
      <c r="BP243" s="125">
        <f t="shared" ref="BP243" si="322">BO243*$E$32</f>
        <v>10.166540384434743</v>
      </c>
      <c r="BQ243" s="125"/>
      <c r="BR243" s="125"/>
      <c r="BS243" s="125"/>
      <c r="BT243" s="125"/>
      <c r="BU243" s="125"/>
      <c r="BV243" s="125"/>
      <c r="BW243" s="125"/>
      <c r="BX243" s="125"/>
      <c r="BY243" s="125"/>
      <c r="BZ243" s="125"/>
      <c r="CA243" s="125">
        <f t="shared" si="25"/>
        <v>205.37631227969436</v>
      </c>
    </row>
    <row r="244" spans="2:79" s="38" customFormat="1" ht="15.95" customHeight="1" x14ac:dyDescent="0.25">
      <c r="B244" s="98">
        <f t="shared" si="31"/>
        <v>32</v>
      </c>
      <c r="C244" s="125">
        <f>'Os juros sobre juros'!$E$46</f>
        <v>331.89250191718025</v>
      </c>
      <c r="D244" s="125">
        <f t="shared" si="33"/>
        <v>122.64074218445705</v>
      </c>
      <c r="E244" s="125">
        <f t="shared" si="34"/>
        <v>209.2517597327232</v>
      </c>
      <c r="F244" s="15">
        <f t="shared" si="23"/>
        <v>1.706217330436564</v>
      </c>
      <c r="G244" s="125">
        <f t="shared" si="24"/>
        <v>122.64074218445705</v>
      </c>
      <c r="H244" s="125">
        <f t="shared" si="28"/>
        <v>3.8754474530288432</v>
      </c>
      <c r="I244" s="125">
        <f t="shared" si="35"/>
        <v>126.51618963748589</v>
      </c>
      <c r="J244" s="125">
        <f t="shared" ref="J244" si="323">I244*$E$32</f>
        <v>3.9979115925445545</v>
      </c>
      <c r="K244" s="125">
        <f t="shared" si="37"/>
        <v>130.51410123003046</v>
      </c>
      <c r="L244" s="125">
        <f t="shared" ref="L244" si="324">K244*$E$32</f>
        <v>4.1242455988689626</v>
      </c>
      <c r="M244" s="125">
        <f t="shared" si="39"/>
        <v>134.63834682889942</v>
      </c>
      <c r="N244" s="125">
        <f t="shared" si="151"/>
        <v>4.2545717597932216</v>
      </c>
      <c r="O244" s="125">
        <f t="shared" si="42"/>
        <v>138.89291858869262</v>
      </c>
      <c r="P244" s="125">
        <f t="shared" ref="P244" si="325">O244*$E$32</f>
        <v>4.3890162274026876</v>
      </c>
      <c r="Q244" s="125">
        <f t="shared" si="47"/>
        <v>143.28193481609532</v>
      </c>
      <c r="R244" s="125">
        <f t="shared" si="176"/>
        <v>4.5277091401886125</v>
      </c>
      <c r="S244" s="125">
        <f t="shared" si="51"/>
        <v>147.80964395628394</v>
      </c>
      <c r="T244" s="125">
        <f t="shared" ref="T244" si="326">S244*$E$32</f>
        <v>4.6707847490185728</v>
      </c>
      <c r="U244" s="125">
        <f t="shared" si="57"/>
        <v>152.4804287053025</v>
      </c>
      <c r="V244" s="125">
        <f t="shared" si="203"/>
        <v>4.8183815470875597</v>
      </c>
      <c r="W244" s="125">
        <f t="shared" si="62"/>
        <v>157.29881025239007</v>
      </c>
      <c r="X244" s="125">
        <f t="shared" ref="X244" si="327">W244*$E$32</f>
        <v>4.9706424039755266</v>
      </c>
      <c r="Y244" s="125">
        <f t="shared" si="69"/>
        <v>162.26945265636559</v>
      </c>
      <c r="Z244" s="125">
        <f t="shared" si="232"/>
        <v>5.1277147039411535</v>
      </c>
      <c r="AA244" s="125">
        <f t="shared" si="75"/>
        <v>167.39716736030675</v>
      </c>
      <c r="AB244" s="125">
        <f t="shared" ref="AB244" si="328">AA244*$E$32</f>
        <v>5.2897504885856943</v>
      </c>
      <c r="AC244" s="125">
        <f t="shared" si="83"/>
        <v>172.68691784889245</v>
      </c>
      <c r="AD244" s="125">
        <f t="shared" si="263"/>
        <v>5.4569066040250016</v>
      </c>
      <c r="AE244" s="125">
        <f t="shared" si="90"/>
        <v>178.14382445291744</v>
      </c>
      <c r="AF244" s="125">
        <f t="shared" ref="AF244" si="329">AE244*$E$32</f>
        <v>5.6293448527121921</v>
      </c>
      <c r="AG244" s="125">
        <f t="shared" si="99"/>
        <v>183.77316930562964</v>
      </c>
      <c r="AH244" s="125">
        <f t="shared" si="296"/>
        <v>5.8072321500578967</v>
      </c>
      <c r="AI244" s="125">
        <f t="shared" si="107"/>
        <v>189.58040145568754</v>
      </c>
      <c r="AJ244" s="125">
        <f t="shared" ref="AJ244" si="330">AI244*$E$32</f>
        <v>5.990740685999727</v>
      </c>
      <c r="AK244" s="125">
        <f t="shared" si="117"/>
        <v>195.57114214168726</v>
      </c>
      <c r="AL244" s="125">
        <f t="shared" ref="AL244:AL248" si="331">AK244*$E$32</f>
        <v>6.1800480916773184</v>
      </c>
      <c r="AM244" s="125">
        <f t="shared" si="126"/>
        <v>201.75119023336458</v>
      </c>
      <c r="AN244" s="125">
        <f t="shared" ref="AN244" si="332">AM244*$E$32</f>
        <v>6.375337611374321</v>
      </c>
      <c r="AO244" s="125">
        <f t="shared" si="137"/>
        <v>208.12652784473892</v>
      </c>
      <c r="AP244" s="125">
        <f t="shared" si="136"/>
        <v>6.5767982798937501</v>
      </c>
      <c r="AQ244" s="125">
        <f t="shared" si="147"/>
        <v>214.70332612463267</v>
      </c>
      <c r="AR244" s="125">
        <f t="shared" ref="AR244" si="333">AQ244*$E$32</f>
        <v>6.7846251055383933</v>
      </c>
      <c r="AS244" s="125">
        <f t="shared" si="160"/>
        <v>221.48795123017106</v>
      </c>
      <c r="AT244" s="125">
        <f t="shared" si="159"/>
        <v>6.9990192588734059</v>
      </c>
      <c r="AU244" s="125">
        <f t="shared" si="171"/>
        <v>228.48697048904447</v>
      </c>
      <c r="AV244" s="125">
        <f t="shared" ref="AV244" si="334">AU244*$E$32</f>
        <v>7.220188267453806</v>
      </c>
      <c r="AW244" s="125">
        <f t="shared" si="185"/>
        <v>235.70715875649827</v>
      </c>
      <c r="AX244" s="125">
        <f t="shared" si="184"/>
        <v>7.448346216705346</v>
      </c>
      <c r="AY244" s="125">
        <f t="shared" si="197"/>
        <v>243.15550497320362</v>
      </c>
      <c r="AZ244" s="125">
        <f t="shared" ref="AZ244" si="335">AY244*$E$32</f>
        <v>7.6837139571532349</v>
      </c>
      <c r="BA244" s="125">
        <f t="shared" si="212"/>
        <v>250.83921893035685</v>
      </c>
      <c r="BB244" s="125">
        <f t="shared" si="211"/>
        <v>7.9265193181992775</v>
      </c>
      <c r="BC244" s="125">
        <f t="shared" si="225"/>
        <v>258.76573824855615</v>
      </c>
      <c r="BD244" s="125">
        <f t="shared" ref="BD244" si="336">BC244*$E$32</f>
        <v>8.1769973286543749</v>
      </c>
      <c r="BE244" s="125">
        <f t="shared" si="241"/>
        <v>266.9427355772105</v>
      </c>
      <c r="BF244" s="125">
        <f t="shared" si="240"/>
        <v>8.435390444239852</v>
      </c>
      <c r="BG244" s="125">
        <f t="shared" si="255"/>
        <v>275.37812602145033</v>
      </c>
      <c r="BH244" s="125">
        <f t="shared" ref="BH244" si="337">BG244*$E$32</f>
        <v>8.7019487822778316</v>
      </c>
      <c r="BI244" s="125">
        <f t="shared" si="272"/>
        <v>284.08007480372817</v>
      </c>
      <c r="BJ244" s="125">
        <f t="shared" si="271"/>
        <v>8.9769303637978108</v>
      </c>
      <c r="BK244" s="125">
        <f t="shared" si="287"/>
        <v>293.05700516752597</v>
      </c>
      <c r="BL244" s="125">
        <f t="shared" ref="BL244" si="338">BK244*$E$32</f>
        <v>9.2606013632938211</v>
      </c>
      <c r="BM244" s="125">
        <f t="shared" si="305"/>
        <v>302.31760653081977</v>
      </c>
      <c r="BN244" s="125">
        <f t="shared" si="304"/>
        <v>9.5532363663739055</v>
      </c>
      <c r="BO244" s="125">
        <f t="shared" si="321"/>
        <v>311.87084289719365</v>
      </c>
      <c r="BP244" s="125">
        <f t="shared" ref="BP244:BR248" si="339">BO244*$E$32</f>
        <v>9.8551186355513209</v>
      </c>
      <c r="BQ244" s="125">
        <f t="shared" ref="BQ244:BQ248" si="340">BO244+BP244</f>
        <v>321.72596153274498</v>
      </c>
      <c r="BR244" s="125">
        <f t="shared" si="339"/>
        <v>10.166540384434743</v>
      </c>
      <c r="BS244" s="125"/>
      <c r="BT244" s="125"/>
      <c r="BU244" s="125"/>
      <c r="BV244" s="125"/>
      <c r="BW244" s="125"/>
      <c r="BX244" s="125"/>
      <c r="BY244" s="125"/>
      <c r="BZ244" s="125"/>
      <c r="CA244" s="125">
        <f t="shared" si="25"/>
        <v>209.2517597327232</v>
      </c>
    </row>
    <row r="245" spans="2:79" s="38" customFormat="1" ht="15.95" customHeight="1" x14ac:dyDescent="0.25">
      <c r="B245" s="98">
        <f t="shared" si="31"/>
        <v>33</v>
      </c>
      <c r="C245" s="125">
        <f>'Os juros sobre juros'!$E$46</f>
        <v>331.89250191718025</v>
      </c>
      <c r="D245" s="125">
        <f t="shared" si="33"/>
        <v>118.88400754600333</v>
      </c>
      <c r="E245" s="125">
        <f t="shared" si="34"/>
        <v>213.00849437117694</v>
      </c>
      <c r="F245" s="15">
        <f t="shared" si="23"/>
        <v>1.7917337980783599</v>
      </c>
      <c r="G245" s="125">
        <f t="shared" si="24"/>
        <v>118.88400754600333</v>
      </c>
      <c r="H245" s="125">
        <f t="shared" si="28"/>
        <v>3.7567346384537057</v>
      </c>
      <c r="I245" s="125">
        <f t="shared" si="35"/>
        <v>122.64074218445704</v>
      </c>
      <c r="J245" s="125">
        <f t="shared" ref="J245" si="341">I245*$E$32</f>
        <v>3.8754474530288427</v>
      </c>
      <c r="K245" s="125">
        <f t="shared" si="37"/>
        <v>126.51618963748588</v>
      </c>
      <c r="L245" s="125">
        <f t="shared" ref="L245" si="342">K245*$E$32</f>
        <v>3.9979115925445541</v>
      </c>
      <c r="M245" s="125">
        <f t="shared" si="39"/>
        <v>130.51410123003043</v>
      </c>
      <c r="N245" s="125">
        <f t="shared" si="151"/>
        <v>4.1242455988689617</v>
      </c>
      <c r="O245" s="125">
        <f t="shared" si="42"/>
        <v>134.63834682889939</v>
      </c>
      <c r="P245" s="125">
        <f t="shared" ref="P245" si="343">O245*$E$32</f>
        <v>4.2545717597932207</v>
      </c>
      <c r="Q245" s="125">
        <f t="shared" si="47"/>
        <v>138.89291858869259</v>
      </c>
      <c r="R245" s="125">
        <f t="shared" si="176"/>
        <v>4.3890162274026867</v>
      </c>
      <c r="S245" s="125">
        <f t="shared" si="51"/>
        <v>143.28193481609529</v>
      </c>
      <c r="T245" s="125">
        <f t="shared" ref="T245" si="344">S245*$E$32</f>
        <v>4.5277091401886116</v>
      </c>
      <c r="U245" s="125">
        <f t="shared" si="57"/>
        <v>147.80964395628391</v>
      </c>
      <c r="V245" s="125">
        <f t="shared" si="203"/>
        <v>4.6707847490185719</v>
      </c>
      <c r="W245" s="125">
        <f t="shared" si="62"/>
        <v>152.48042870530247</v>
      </c>
      <c r="X245" s="125">
        <f t="shared" ref="X245" si="345">W245*$E$32</f>
        <v>4.8183815470875588</v>
      </c>
      <c r="Y245" s="125">
        <f t="shared" si="69"/>
        <v>157.29881025239004</v>
      </c>
      <c r="Z245" s="125">
        <f t="shared" si="232"/>
        <v>4.9706424039755257</v>
      </c>
      <c r="AA245" s="125">
        <f t="shared" si="75"/>
        <v>162.26945265636556</v>
      </c>
      <c r="AB245" s="125">
        <f t="shared" ref="AB245" si="346">AA245*$E$32</f>
        <v>5.1277147039411526</v>
      </c>
      <c r="AC245" s="125">
        <f t="shared" si="83"/>
        <v>167.39716736030672</v>
      </c>
      <c r="AD245" s="125">
        <f t="shared" si="263"/>
        <v>5.2897504885856934</v>
      </c>
      <c r="AE245" s="125">
        <f t="shared" si="90"/>
        <v>172.68691784889242</v>
      </c>
      <c r="AF245" s="125">
        <f t="shared" ref="AF245" si="347">AE245*$E$32</f>
        <v>5.4569066040250007</v>
      </c>
      <c r="AG245" s="125">
        <f t="shared" si="99"/>
        <v>178.14382445291741</v>
      </c>
      <c r="AH245" s="125">
        <f t="shared" si="296"/>
        <v>5.6293448527121912</v>
      </c>
      <c r="AI245" s="125">
        <f t="shared" si="107"/>
        <v>183.77316930562961</v>
      </c>
      <c r="AJ245" s="125">
        <f t="shared" ref="AJ245" si="348">AI245*$E$32</f>
        <v>5.8072321500578958</v>
      </c>
      <c r="AK245" s="125">
        <f t="shared" si="117"/>
        <v>189.58040145568751</v>
      </c>
      <c r="AL245" s="125">
        <f t="shared" si="331"/>
        <v>5.9907406859997261</v>
      </c>
      <c r="AM245" s="125">
        <f t="shared" si="126"/>
        <v>195.57114214168723</v>
      </c>
      <c r="AN245" s="125">
        <f t="shared" ref="AN245" si="349">AM245*$E$32</f>
        <v>6.1800480916773175</v>
      </c>
      <c r="AO245" s="125">
        <f t="shared" si="137"/>
        <v>201.75119023336455</v>
      </c>
      <c r="AP245" s="125">
        <f t="shared" si="136"/>
        <v>6.3753376113743201</v>
      </c>
      <c r="AQ245" s="125">
        <f t="shared" si="147"/>
        <v>208.12652784473886</v>
      </c>
      <c r="AR245" s="125">
        <f t="shared" ref="AR245" si="350">AQ245*$E$32</f>
        <v>6.5767982798937483</v>
      </c>
      <c r="AS245" s="125">
        <f t="shared" si="160"/>
        <v>214.70332612463261</v>
      </c>
      <c r="AT245" s="125">
        <f t="shared" si="159"/>
        <v>6.7846251055383915</v>
      </c>
      <c r="AU245" s="125">
        <f t="shared" si="171"/>
        <v>221.48795123017101</v>
      </c>
      <c r="AV245" s="125">
        <f t="shared" ref="AV245" si="351">AU245*$E$32</f>
        <v>6.9990192588734041</v>
      </c>
      <c r="AW245" s="125">
        <f t="shared" si="185"/>
        <v>228.48697048904441</v>
      </c>
      <c r="AX245" s="125">
        <f t="shared" si="184"/>
        <v>7.2201882674538043</v>
      </c>
      <c r="AY245" s="125">
        <f t="shared" si="197"/>
        <v>235.70715875649822</v>
      </c>
      <c r="AZ245" s="125">
        <f t="shared" ref="AZ245" si="352">AY245*$E$32</f>
        <v>7.4483462167053442</v>
      </c>
      <c r="BA245" s="125">
        <f t="shared" si="212"/>
        <v>243.15550497320356</v>
      </c>
      <c r="BB245" s="125">
        <f t="shared" si="211"/>
        <v>7.6837139571532331</v>
      </c>
      <c r="BC245" s="125">
        <f t="shared" si="225"/>
        <v>250.83921893035679</v>
      </c>
      <c r="BD245" s="125">
        <f t="shared" ref="BD245" si="353">BC245*$E$32</f>
        <v>7.9265193181992757</v>
      </c>
      <c r="BE245" s="125">
        <f t="shared" si="241"/>
        <v>258.76573824855609</v>
      </c>
      <c r="BF245" s="125">
        <f t="shared" si="240"/>
        <v>8.1769973286543731</v>
      </c>
      <c r="BG245" s="125">
        <f t="shared" si="255"/>
        <v>266.94273557721044</v>
      </c>
      <c r="BH245" s="125">
        <f t="shared" ref="BH245" si="354">BG245*$E$32</f>
        <v>8.4353904442398502</v>
      </c>
      <c r="BI245" s="125">
        <f t="shared" si="272"/>
        <v>275.37812602145027</v>
      </c>
      <c r="BJ245" s="125">
        <f t="shared" si="271"/>
        <v>8.7019487822778299</v>
      </c>
      <c r="BK245" s="125">
        <f t="shared" si="287"/>
        <v>284.08007480372811</v>
      </c>
      <c r="BL245" s="125">
        <f t="shared" ref="BL245" si="355">BK245*$E$32</f>
        <v>8.9769303637978091</v>
      </c>
      <c r="BM245" s="125">
        <f t="shared" si="305"/>
        <v>293.05700516752592</v>
      </c>
      <c r="BN245" s="125">
        <f t="shared" si="304"/>
        <v>9.2606013632938193</v>
      </c>
      <c r="BO245" s="125">
        <f t="shared" si="321"/>
        <v>302.31760653081972</v>
      </c>
      <c r="BP245" s="125">
        <f t="shared" ref="BP245" si="356">BO245*$E$32</f>
        <v>9.5532363663739037</v>
      </c>
      <c r="BQ245" s="125">
        <f t="shared" si="340"/>
        <v>311.8708428971936</v>
      </c>
      <c r="BR245" s="125">
        <f t="shared" si="339"/>
        <v>9.8551186355513192</v>
      </c>
      <c r="BS245" s="125">
        <f t="shared" ref="BS245:BS248" si="357">BQ245+BR245</f>
        <v>321.72596153274492</v>
      </c>
      <c r="BT245" s="125">
        <f t="shared" ref="BT245" si="358">BS245*$E$32</f>
        <v>10.166540384434741</v>
      </c>
      <c r="BU245" s="125"/>
      <c r="BV245" s="125"/>
      <c r="BW245" s="125"/>
      <c r="BX245" s="125"/>
      <c r="BY245" s="125"/>
      <c r="BZ245" s="125"/>
      <c r="CA245" s="125">
        <f t="shared" si="25"/>
        <v>213.00849437117694</v>
      </c>
    </row>
    <row r="246" spans="2:79" s="38" customFormat="1" ht="15.95" customHeight="1" x14ac:dyDescent="0.25">
      <c r="B246" s="98">
        <f t="shared" si="31"/>
        <v>34</v>
      </c>
      <c r="C246" s="125">
        <f>'Os juros sobre juros'!$E$46</f>
        <v>331.89250191718025</v>
      </c>
      <c r="D246" s="125">
        <f t="shared" si="33"/>
        <v>115.24234930787449</v>
      </c>
      <c r="E246" s="125">
        <f t="shared" si="34"/>
        <v>216.65015260930576</v>
      </c>
      <c r="F246" s="15">
        <f t="shared" si="23"/>
        <v>1.879952586097636</v>
      </c>
      <c r="G246" s="125">
        <f t="shared" si="24"/>
        <v>115.24234930787449</v>
      </c>
      <c r="H246" s="125">
        <f t="shared" si="28"/>
        <v>3.6416582381288345</v>
      </c>
      <c r="I246" s="125">
        <f t="shared" si="35"/>
        <v>118.88400754600333</v>
      </c>
      <c r="J246" s="125">
        <f t="shared" ref="J246" si="359">I246*$E$32</f>
        <v>3.7567346384537057</v>
      </c>
      <c r="K246" s="125">
        <f t="shared" si="37"/>
        <v>122.64074218445704</v>
      </c>
      <c r="L246" s="125">
        <f t="shared" ref="L246" si="360">K246*$E$32</f>
        <v>3.8754474530288427</v>
      </c>
      <c r="M246" s="125">
        <f t="shared" si="39"/>
        <v>126.51618963748588</v>
      </c>
      <c r="N246" s="125">
        <f t="shared" si="151"/>
        <v>3.9979115925445541</v>
      </c>
      <c r="O246" s="125">
        <f t="shared" si="42"/>
        <v>130.51410123003043</v>
      </c>
      <c r="P246" s="125">
        <f t="shared" ref="P246" si="361">O246*$E$32</f>
        <v>4.1242455988689617</v>
      </c>
      <c r="Q246" s="125">
        <f t="shared" si="47"/>
        <v>134.63834682889939</v>
      </c>
      <c r="R246" s="125">
        <f t="shared" si="176"/>
        <v>4.2545717597932207</v>
      </c>
      <c r="S246" s="125">
        <f t="shared" si="51"/>
        <v>138.89291858869259</v>
      </c>
      <c r="T246" s="125">
        <f t="shared" ref="T246" si="362">S246*$E$32</f>
        <v>4.3890162274026867</v>
      </c>
      <c r="U246" s="125">
        <f t="shared" si="57"/>
        <v>143.28193481609529</v>
      </c>
      <c r="V246" s="125">
        <f t="shared" si="203"/>
        <v>4.5277091401886116</v>
      </c>
      <c r="W246" s="125">
        <f t="shared" si="62"/>
        <v>147.80964395628391</v>
      </c>
      <c r="X246" s="125">
        <f t="shared" ref="X246" si="363">W246*$E$32</f>
        <v>4.6707847490185719</v>
      </c>
      <c r="Y246" s="125">
        <f t="shared" si="69"/>
        <v>152.48042870530247</v>
      </c>
      <c r="Z246" s="125">
        <f t="shared" si="232"/>
        <v>4.8183815470875588</v>
      </c>
      <c r="AA246" s="125">
        <f t="shared" si="75"/>
        <v>157.29881025239004</v>
      </c>
      <c r="AB246" s="125">
        <f t="shared" ref="AB246" si="364">AA246*$E$32</f>
        <v>4.9706424039755257</v>
      </c>
      <c r="AC246" s="125">
        <f t="shared" si="83"/>
        <v>162.26945265636556</v>
      </c>
      <c r="AD246" s="125">
        <f t="shared" si="263"/>
        <v>5.1277147039411526</v>
      </c>
      <c r="AE246" s="125">
        <f t="shared" si="90"/>
        <v>167.39716736030672</v>
      </c>
      <c r="AF246" s="125">
        <f t="shared" ref="AF246" si="365">AE246*$E$32</f>
        <v>5.2897504885856934</v>
      </c>
      <c r="AG246" s="125">
        <f t="shared" si="99"/>
        <v>172.68691784889242</v>
      </c>
      <c r="AH246" s="125">
        <f t="shared" si="296"/>
        <v>5.4569066040250007</v>
      </c>
      <c r="AI246" s="125">
        <f t="shared" si="107"/>
        <v>178.14382445291741</v>
      </c>
      <c r="AJ246" s="125">
        <f t="shared" ref="AJ246" si="366">AI246*$E$32</f>
        <v>5.6293448527121912</v>
      </c>
      <c r="AK246" s="125">
        <f t="shared" si="117"/>
        <v>183.77316930562961</v>
      </c>
      <c r="AL246" s="125">
        <f t="shared" si="331"/>
        <v>5.8072321500578958</v>
      </c>
      <c r="AM246" s="125">
        <f t="shared" si="126"/>
        <v>189.58040145568751</v>
      </c>
      <c r="AN246" s="125">
        <f t="shared" ref="AN246" si="367">AM246*$E$32</f>
        <v>5.9907406859997261</v>
      </c>
      <c r="AO246" s="125">
        <f t="shared" si="137"/>
        <v>195.57114214168723</v>
      </c>
      <c r="AP246" s="125">
        <f t="shared" ref="AP246:AP248" si="368">AO246*$E$32</f>
        <v>6.1800480916773175</v>
      </c>
      <c r="AQ246" s="125">
        <f t="shared" si="147"/>
        <v>201.75119023336455</v>
      </c>
      <c r="AR246" s="125">
        <f t="shared" ref="AR246" si="369">AQ246*$E$32</f>
        <v>6.3753376113743201</v>
      </c>
      <c r="AS246" s="125">
        <f t="shared" si="160"/>
        <v>208.12652784473886</v>
      </c>
      <c r="AT246" s="125">
        <f t="shared" si="159"/>
        <v>6.5767982798937483</v>
      </c>
      <c r="AU246" s="125">
        <f t="shared" si="171"/>
        <v>214.70332612463261</v>
      </c>
      <c r="AV246" s="125">
        <f t="shared" ref="AV246" si="370">AU246*$E$32</f>
        <v>6.7846251055383915</v>
      </c>
      <c r="AW246" s="125">
        <f t="shared" si="185"/>
        <v>221.48795123017101</v>
      </c>
      <c r="AX246" s="125">
        <f t="shared" si="184"/>
        <v>6.9990192588734041</v>
      </c>
      <c r="AY246" s="125">
        <f t="shared" si="197"/>
        <v>228.48697048904441</v>
      </c>
      <c r="AZ246" s="125">
        <f t="shared" ref="AZ246" si="371">AY246*$E$32</f>
        <v>7.2201882674538043</v>
      </c>
      <c r="BA246" s="125">
        <f t="shared" si="212"/>
        <v>235.70715875649822</v>
      </c>
      <c r="BB246" s="125">
        <f t="shared" si="211"/>
        <v>7.4483462167053442</v>
      </c>
      <c r="BC246" s="125">
        <f t="shared" si="225"/>
        <v>243.15550497320356</v>
      </c>
      <c r="BD246" s="125">
        <f t="shared" ref="BD246" si="372">BC246*$E$32</f>
        <v>7.6837139571532331</v>
      </c>
      <c r="BE246" s="125">
        <f t="shared" si="241"/>
        <v>250.83921893035679</v>
      </c>
      <c r="BF246" s="125">
        <f t="shared" si="240"/>
        <v>7.9265193181992757</v>
      </c>
      <c r="BG246" s="125">
        <f t="shared" si="255"/>
        <v>258.76573824855609</v>
      </c>
      <c r="BH246" s="125">
        <f t="shared" ref="BH246" si="373">BG246*$E$32</f>
        <v>8.1769973286543731</v>
      </c>
      <c r="BI246" s="125">
        <f t="shared" si="272"/>
        <v>266.94273557721044</v>
      </c>
      <c r="BJ246" s="125">
        <f t="shared" si="271"/>
        <v>8.4353904442398502</v>
      </c>
      <c r="BK246" s="125">
        <f t="shared" si="287"/>
        <v>275.37812602145027</v>
      </c>
      <c r="BL246" s="125">
        <f t="shared" ref="BL246" si="374">BK246*$E$32</f>
        <v>8.7019487822778299</v>
      </c>
      <c r="BM246" s="125">
        <f t="shared" si="305"/>
        <v>284.08007480372811</v>
      </c>
      <c r="BN246" s="125">
        <f t="shared" si="304"/>
        <v>8.9769303637978091</v>
      </c>
      <c r="BO246" s="125">
        <f t="shared" si="321"/>
        <v>293.05700516752592</v>
      </c>
      <c r="BP246" s="125">
        <f t="shared" ref="BP246" si="375">BO246*$E$32</f>
        <v>9.2606013632938193</v>
      </c>
      <c r="BQ246" s="125">
        <f t="shared" si="340"/>
        <v>302.31760653081972</v>
      </c>
      <c r="BR246" s="125">
        <f t="shared" si="339"/>
        <v>9.5532363663739037</v>
      </c>
      <c r="BS246" s="125">
        <f t="shared" si="357"/>
        <v>311.8708428971936</v>
      </c>
      <c r="BT246" s="125">
        <f t="shared" ref="BT246:BV248" si="376">BS246*$E$32</f>
        <v>9.8551186355513192</v>
      </c>
      <c r="BU246" s="125">
        <f t="shared" ref="BU246:BU248" si="377">BS246+BT246</f>
        <v>321.72596153274492</v>
      </c>
      <c r="BV246" s="125">
        <f t="shared" si="376"/>
        <v>10.166540384434741</v>
      </c>
      <c r="BW246" s="125"/>
      <c r="BX246" s="125"/>
      <c r="BY246" s="125"/>
      <c r="BZ246" s="125"/>
      <c r="CA246" s="125">
        <f t="shared" si="25"/>
        <v>216.65015260930576</v>
      </c>
    </row>
    <row r="247" spans="2:79" s="38" customFormat="1" ht="15.95" customHeight="1" x14ac:dyDescent="0.25">
      <c r="B247" s="98">
        <f t="shared" si="31"/>
        <v>35</v>
      </c>
      <c r="C247" s="125">
        <f>'Os juros sobre juros'!$E$46</f>
        <v>331.89250191718025</v>
      </c>
      <c r="D247" s="125">
        <f t="shared" si="33"/>
        <v>111.71224244656308</v>
      </c>
      <c r="E247" s="125">
        <f t="shared" si="34"/>
        <v>220.18025947061716</v>
      </c>
      <c r="F247" s="15">
        <f t="shared" si="23"/>
        <v>1.9709590878183216</v>
      </c>
      <c r="G247" s="125">
        <f t="shared" si="24"/>
        <v>111.71224244656308</v>
      </c>
      <c r="H247" s="125">
        <f t="shared" si="28"/>
        <v>3.5301068613113937</v>
      </c>
      <c r="I247" s="125">
        <f t="shared" si="35"/>
        <v>115.24234930787448</v>
      </c>
      <c r="J247" s="125">
        <f t="shared" ref="J247" si="378">I247*$E$32</f>
        <v>3.641658238128834</v>
      </c>
      <c r="K247" s="125">
        <f t="shared" si="37"/>
        <v>118.88400754600332</v>
      </c>
      <c r="L247" s="125">
        <f t="shared" ref="L247" si="379">K247*$E$32</f>
        <v>3.7567346384537053</v>
      </c>
      <c r="M247" s="125">
        <f t="shared" si="39"/>
        <v>122.64074218445703</v>
      </c>
      <c r="N247" s="125">
        <f t="shared" si="151"/>
        <v>3.8754474530288423</v>
      </c>
      <c r="O247" s="125">
        <f t="shared" si="42"/>
        <v>126.51618963748587</v>
      </c>
      <c r="P247" s="125">
        <f t="shared" ref="P247" si="380">O247*$E$32</f>
        <v>3.9979115925445536</v>
      </c>
      <c r="Q247" s="125">
        <f t="shared" si="47"/>
        <v>130.51410123003041</v>
      </c>
      <c r="R247" s="125">
        <f t="shared" si="176"/>
        <v>4.1242455988689608</v>
      </c>
      <c r="S247" s="125">
        <f t="shared" si="51"/>
        <v>134.63834682889936</v>
      </c>
      <c r="T247" s="125">
        <f t="shared" ref="T247" si="381">S247*$E$32</f>
        <v>4.2545717597932198</v>
      </c>
      <c r="U247" s="125">
        <f t="shared" si="57"/>
        <v>138.89291858869257</v>
      </c>
      <c r="V247" s="125">
        <f t="shared" si="203"/>
        <v>4.3890162274026858</v>
      </c>
      <c r="W247" s="125">
        <f t="shared" si="62"/>
        <v>143.28193481609526</v>
      </c>
      <c r="X247" s="125">
        <f t="shared" ref="X247" si="382">W247*$E$32</f>
        <v>4.5277091401886107</v>
      </c>
      <c r="Y247" s="125">
        <f t="shared" si="69"/>
        <v>147.80964395628388</v>
      </c>
      <c r="Z247" s="125">
        <f t="shared" si="232"/>
        <v>4.670784749018571</v>
      </c>
      <c r="AA247" s="125">
        <f t="shared" si="75"/>
        <v>152.48042870530244</v>
      </c>
      <c r="AB247" s="125">
        <f t="shared" ref="AB247" si="383">AA247*$E$32</f>
        <v>4.8183815470875579</v>
      </c>
      <c r="AC247" s="125">
        <f t="shared" si="83"/>
        <v>157.29881025239001</v>
      </c>
      <c r="AD247" s="125">
        <f t="shared" si="263"/>
        <v>4.9706424039755248</v>
      </c>
      <c r="AE247" s="125">
        <f t="shared" si="90"/>
        <v>162.26945265636553</v>
      </c>
      <c r="AF247" s="125">
        <f t="shared" ref="AF247" si="384">AE247*$E$32</f>
        <v>5.1277147039411517</v>
      </c>
      <c r="AG247" s="125">
        <f t="shared" si="99"/>
        <v>167.3971673603067</v>
      </c>
      <c r="AH247" s="125">
        <f t="shared" si="296"/>
        <v>5.2897504885856925</v>
      </c>
      <c r="AI247" s="125">
        <f t="shared" si="107"/>
        <v>172.68691784889239</v>
      </c>
      <c r="AJ247" s="125">
        <f t="shared" ref="AJ247" si="385">AI247*$E$32</f>
        <v>5.4569066040249998</v>
      </c>
      <c r="AK247" s="125">
        <f t="shared" si="117"/>
        <v>178.14382445291739</v>
      </c>
      <c r="AL247" s="125">
        <f t="shared" si="331"/>
        <v>5.6293448527121903</v>
      </c>
      <c r="AM247" s="125">
        <f t="shared" si="126"/>
        <v>183.77316930562958</v>
      </c>
      <c r="AN247" s="125">
        <f t="shared" ref="AN247" si="386">AM247*$E$32</f>
        <v>5.8072321500578949</v>
      </c>
      <c r="AO247" s="125">
        <f t="shared" si="137"/>
        <v>189.58040145568748</v>
      </c>
      <c r="AP247" s="125">
        <f t="shared" si="368"/>
        <v>5.9907406859997252</v>
      </c>
      <c r="AQ247" s="125">
        <f t="shared" si="147"/>
        <v>195.5711421416872</v>
      </c>
      <c r="AR247" s="125">
        <f t="shared" ref="AR247" si="387">AQ247*$E$32</f>
        <v>6.1800480916773166</v>
      </c>
      <c r="AS247" s="125">
        <f t="shared" si="160"/>
        <v>201.75119023336453</v>
      </c>
      <c r="AT247" s="125">
        <f t="shared" si="159"/>
        <v>6.3753376113743192</v>
      </c>
      <c r="AU247" s="125">
        <f t="shared" si="171"/>
        <v>208.12652784473883</v>
      </c>
      <c r="AV247" s="125">
        <f t="shared" ref="AV247" si="388">AU247*$E$32</f>
        <v>6.5767982798937474</v>
      </c>
      <c r="AW247" s="125">
        <f t="shared" si="185"/>
        <v>214.70332612463258</v>
      </c>
      <c r="AX247" s="125">
        <f t="shared" si="184"/>
        <v>6.7846251055383906</v>
      </c>
      <c r="AY247" s="125">
        <f t="shared" si="197"/>
        <v>221.48795123017098</v>
      </c>
      <c r="AZ247" s="125">
        <f t="shared" ref="AZ247" si="389">AY247*$E$32</f>
        <v>6.9990192588734033</v>
      </c>
      <c r="BA247" s="125">
        <f t="shared" si="212"/>
        <v>228.48697048904438</v>
      </c>
      <c r="BB247" s="125">
        <f t="shared" si="211"/>
        <v>7.2201882674538034</v>
      </c>
      <c r="BC247" s="125">
        <f t="shared" si="225"/>
        <v>235.70715875649819</v>
      </c>
      <c r="BD247" s="125">
        <f t="shared" ref="BD247" si="390">BC247*$E$32</f>
        <v>7.4483462167053434</v>
      </c>
      <c r="BE247" s="125">
        <f t="shared" si="241"/>
        <v>243.15550497320353</v>
      </c>
      <c r="BF247" s="125">
        <f t="shared" si="240"/>
        <v>7.6837139571532322</v>
      </c>
      <c r="BG247" s="125">
        <f t="shared" si="255"/>
        <v>250.83921893035676</v>
      </c>
      <c r="BH247" s="125">
        <f t="shared" ref="BH247" si="391">BG247*$E$32</f>
        <v>7.9265193181992748</v>
      </c>
      <c r="BI247" s="125">
        <f t="shared" si="272"/>
        <v>258.76573824855603</v>
      </c>
      <c r="BJ247" s="125">
        <f t="shared" si="271"/>
        <v>8.1769973286543713</v>
      </c>
      <c r="BK247" s="125">
        <f t="shared" si="287"/>
        <v>266.94273557721039</v>
      </c>
      <c r="BL247" s="125">
        <f t="shared" ref="BL247" si="392">BK247*$E$32</f>
        <v>8.4353904442398484</v>
      </c>
      <c r="BM247" s="125">
        <f t="shared" si="305"/>
        <v>275.37812602145021</v>
      </c>
      <c r="BN247" s="125">
        <f t="shared" si="304"/>
        <v>8.7019487822778281</v>
      </c>
      <c r="BO247" s="125">
        <f t="shared" si="321"/>
        <v>284.08007480372805</v>
      </c>
      <c r="BP247" s="125">
        <f t="shared" ref="BP247" si="393">BO247*$E$32</f>
        <v>8.9769303637978073</v>
      </c>
      <c r="BQ247" s="125">
        <f t="shared" si="340"/>
        <v>293.05700516752586</v>
      </c>
      <c r="BR247" s="125">
        <f t="shared" si="339"/>
        <v>9.2606013632938176</v>
      </c>
      <c r="BS247" s="125">
        <f t="shared" si="357"/>
        <v>302.31760653081966</v>
      </c>
      <c r="BT247" s="125">
        <f t="shared" ref="BT247" si="394">BS247*$E$32</f>
        <v>9.5532363663739019</v>
      </c>
      <c r="BU247" s="125">
        <f t="shared" si="377"/>
        <v>311.87084289719354</v>
      </c>
      <c r="BV247" s="125">
        <f t="shared" si="376"/>
        <v>9.8551186355513174</v>
      </c>
      <c r="BW247" s="125">
        <f t="shared" ref="BW247:BW248" si="395">BU247+BV247</f>
        <v>321.72596153274486</v>
      </c>
      <c r="BX247" s="125">
        <f t="shared" ref="BX247" si="396">BW247*$E$32</f>
        <v>10.166540384434738</v>
      </c>
      <c r="BY247" s="125"/>
      <c r="BZ247" s="125"/>
      <c r="CA247" s="125">
        <f t="shared" si="25"/>
        <v>220.18025947061716</v>
      </c>
    </row>
    <row r="248" spans="2:79" s="95" customFormat="1" ht="15.95" customHeight="1" x14ac:dyDescent="0.25">
      <c r="B248" s="97">
        <f t="shared" si="31"/>
        <v>36</v>
      </c>
      <c r="C248" s="231">
        <f>'Os juros sobre juros'!$E$46</f>
        <v>331.89250191718025</v>
      </c>
      <c r="D248" s="231">
        <f t="shared" si="33"/>
        <v>108.29026991718021</v>
      </c>
      <c r="E248" s="231">
        <f t="shared" si="34"/>
        <v>223.60223200000004</v>
      </c>
      <c r="F248" s="33">
        <f t="shared" si="23"/>
        <v>2.0648413949933802</v>
      </c>
      <c r="G248" s="231">
        <f t="shared" si="24"/>
        <v>108.29026991718021</v>
      </c>
      <c r="H248" s="231">
        <f>G248*$E$32</f>
        <v>3.4219725293828951</v>
      </c>
      <c r="I248" s="231">
        <f t="shared" si="35"/>
        <v>111.71224244656311</v>
      </c>
      <c r="J248" s="231">
        <f t="shared" ref="J248" si="397">I248*$E$32</f>
        <v>3.5301068613113946</v>
      </c>
      <c r="K248" s="231">
        <f t="shared" si="37"/>
        <v>115.24234930787451</v>
      </c>
      <c r="L248" s="231">
        <f t="shared" ref="L248" si="398">K248*$E$32</f>
        <v>3.6416582381288349</v>
      </c>
      <c r="M248" s="231">
        <f t="shared" si="39"/>
        <v>118.88400754600335</v>
      </c>
      <c r="N248" s="231">
        <f t="shared" si="151"/>
        <v>3.7567346384537061</v>
      </c>
      <c r="O248" s="231">
        <f t="shared" si="42"/>
        <v>122.64074218445705</v>
      </c>
      <c r="P248" s="231">
        <f t="shared" ref="P248" si="399">O248*$E$32</f>
        <v>3.8754474530288432</v>
      </c>
      <c r="Q248" s="231">
        <f t="shared" si="47"/>
        <v>126.51618963748589</v>
      </c>
      <c r="R248" s="231">
        <f t="shared" si="176"/>
        <v>3.9979115925445545</v>
      </c>
      <c r="S248" s="231">
        <f t="shared" si="51"/>
        <v>130.51410123003046</v>
      </c>
      <c r="T248" s="231">
        <f t="shared" ref="T248" si="400">S248*$E$32</f>
        <v>4.1242455988689626</v>
      </c>
      <c r="U248" s="231">
        <f t="shared" si="57"/>
        <v>134.63834682889942</v>
      </c>
      <c r="V248" s="231">
        <f t="shared" si="203"/>
        <v>4.2545717597932216</v>
      </c>
      <c r="W248" s="231">
        <f t="shared" si="62"/>
        <v>138.89291858869262</v>
      </c>
      <c r="X248" s="231">
        <f t="shared" ref="X248" si="401">W248*$E$32</f>
        <v>4.3890162274026876</v>
      </c>
      <c r="Y248" s="231">
        <f t="shared" si="69"/>
        <v>143.28193481609532</v>
      </c>
      <c r="Z248" s="231">
        <f t="shared" si="232"/>
        <v>4.5277091401886125</v>
      </c>
      <c r="AA248" s="231">
        <f t="shared" si="75"/>
        <v>147.80964395628394</v>
      </c>
      <c r="AB248" s="231">
        <f t="shared" ref="AB248" si="402">AA248*$E$32</f>
        <v>4.6707847490185728</v>
      </c>
      <c r="AC248" s="231">
        <f t="shared" si="83"/>
        <v>152.4804287053025</v>
      </c>
      <c r="AD248" s="231">
        <f t="shared" si="263"/>
        <v>4.8183815470875597</v>
      </c>
      <c r="AE248" s="231">
        <f t="shared" si="90"/>
        <v>157.29881025239007</v>
      </c>
      <c r="AF248" s="231">
        <f t="shared" ref="AF248" si="403">AE248*$E$32</f>
        <v>4.9706424039755266</v>
      </c>
      <c r="AG248" s="231">
        <f t="shared" si="99"/>
        <v>162.26945265636559</v>
      </c>
      <c r="AH248" s="231">
        <f t="shared" si="296"/>
        <v>5.1277147039411535</v>
      </c>
      <c r="AI248" s="231">
        <f t="shared" si="107"/>
        <v>167.39716736030675</v>
      </c>
      <c r="AJ248" s="231">
        <f t="shared" ref="AJ248" si="404">AI248*$E$32</f>
        <v>5.2897504885856943</v>
      </c>
      <c r="AK248" s="231">
        <f t="shared" si="117"/>
        <v>172.68691784889245</v>
      </c>
      <c r="AL248" s="231">
        <f t="shared" si="331"/>
        <v>5.4569066040250016</v>
      </c>
      <c r="AM248" s="231">
        <f t="shared" si="126"/>
        <v>178.14382445291744</v>
      </c>
      <c r="AN248" s="231">
        <f t="shared" ref="AN248" si="405">AM248*$E$32</f>
        <v>5.6293448527121921</v>
      </c>
      <c r="AO248" s="231">
        <f t="shared" si="137"/>
        <v>183.77316930562964</v>
      </c>
      <c r="AP248" s="231">
        <f t="shared" si="368"/>
        <v>5.8072321500578967</v>
      </c>
      <c r="AQ248" s="231">
        <f t="shared" si="147"/>
        <v>189.58040145568754</v>
      </c>
      <c r="AR248" s="231">
        <f t="shared" ref="AR248" si="406">AQ248*$E$32</f>
        <v>5.990740685999727</v>
      </c>
      <c r="AS248" s="231">
        <f t="shared" si="160"/>
        <v>195.57114214168726</v>
      </c>
      <c r="AT248" s="231">
        <f t="shared" ref="AT248" si="407">AS248*$E$32</f>
        <v>6.1800480916773184</v>
      </c>
      <c r="AU248" s="231">
        <f t="shared" si="171"/>
        <v>201.75119023336458</v>
      </c>
      <c r="AV248" s="231">
        <f t="shared" ref="AV248" si="408">AU248*$E$32</f>
        <v>6.375337611374321</v>
      </c>
      <c r="AW248" s="231">
        <f t="shared" si="185"/>
        <v>208.12652784473892</v>
      </c>
      <c r="AX248" s="231">
        <f t="shared" si="184"/>
        <v>6.5767982798937501</v>
      </c>
      <c r="AY248" s="231">
        <f t="shared" si="197"/>
        <v>214.70332612463267</v>
      </c>
      <c r="AZ248" s="231">
        <f t="shared" ref="AZ248" si="409">AY248*$E$32</f>
        <v>6.7846251055383933</v>
      </c>
      <c r="BA248" s="231">
        <f t="shared" si="212"/>
        <v>221.48795123017106</v>
      </c>
      <c r="BB248" s="231">
        <f t="shared" si="211"/>
        <v>6.9990192588734059</v>
      </c>
      <c r="BC248" s="231">
        <f t="shared" si="225"/>
        <v>228.48697048904447</v>
      </c>
      <c r="BD248" s="231">
        <f t="shared" ref="BD248" si="410">BC248*$E$32</f>
        <v>7.220188267453806</v>
      </c>
      <c r="BE248" s="231">
        <f t="shared" si="241"/>
        <v>235.70715875649827</v>
      </c>
      <c r="BF248" s="231">
        <f t="shared" si="240"/>
        <v>7.448346216705346</v>
      </c>
      <c r="BG248" s="231">
        <f t="shared" si="255"/>
        <v>243.15550497320362</v>
      </c>
      <c r="BH248" s="231">
        <f t="shared" ref="BH248" si="411">BG248*$E$32</f>
        <v>7.6837139571532349</v>
      </c>
      <c r="BI248" s="231">
        <f t="shared" si="272"/>
        <v>250.83921893035685</v>
      </c>
      <c r="BJ248" s="231">
        <f t="shared" si="271"/>
        <v>7.9265193181992775</v>
      </c>
      <c r="BK248" s="231">
        <f t="shared" si="287"/>
        <v>258.76573824855615</v>
      </c>
      <c r="BL248" s="231">
        <f t="shared" ref="BL248" si="412">BK248*$E$32</f>
        <v>8.1769973286543749</v>
      </c>
      <c r="BM248" s="231">
        <f t="shared" si="305"/>
        <v>266.9427355772105</v>
      </c>
      <c r="BN248" s="231">
        <f t="shared" si="304"/>
        <v>8.435390444239852</v>
      </c>
      <c r="BO248" s="231">
        <f t="shared" si="321"/>
        <v>275.37812602145033</v>
      </c>
      <c r="BP248" s="231">
        <f t="shared" ref="BP248" si="413">BO248*$E$32</f>
        <v>8.7019487822778316</v>
      </c>
      <c r="BQ248" s="231">
        <f t="shared" si="340"/>
        <v>284.08007480372817</v>
      </c>
      <c r="BR248" s="231">
        <f t="shared" si="339"/>
        <v>8.9769303637978108</v>
      </c>
      <c r="BS248" s="231">
        <f t="shared" si="357"/>
        <v>293.05700516752597</v>
      </c>
      <c r="BT248" s="231">
        <f t="shared" ref="BT248" si="414">BS248*$E$32</f>
        <v>9.2606013632938211</v>
      </c>
      <c r="BU248" s="231">
        <f t="shared" si="377"/>
        <v>302.31760653081977</v>
      </c>
      <c r="BV248" s="231">
        <f t="shared" si="376"/>
        <v>9.5532363663739055</v>
      </c>
      <c r="BW248" s="231">
        <f t="shared" si="395"/>
        <v>311.87084289719365</v>
      </c>
      <c r="BX248" s="231">
        <f t="shared" ref="BX248:BZ248" si="415">BW248*$E$32</f>
        <v>9.8551186355513209</v>
      </c>
      <c r="BY248" s="231">
        <f t="shared" ref="BY248" si="416">BW248+BX248</f>
        <v>321.72596153274498</v>
      </c>
      <c r="BZ248" s="231">
        <f t="shared" si="415"/>
        <v>10.166540384434743</v>
      </c>
      <c r="CA248" s="231">
        <f t="shared" si="25"/>
        <v>223.60223200000004</v>
      </c>
    </row>
    <row r="249" spans="2:79" s="95" customFormat="1" ht="15.95" customHeight="1" x14ac:dyDescent="0.25">
      <c r="B249" s="232" t="s">
        <v>23</v>
      </c>
      <c r="C249" s="233">
        <f ca="1">SUM(C213:INDIRECT(ADDRESS(ROW($C$249)-1,3)))</f>
        <v>11948.130069018489</v>
      </c>
      <c r="D249" s="233">
        <f ca="1">SUM(D213:INDIRECT(ADDRESS(ROW($D$249)-1,4)))</f>
        <v>7076.0199999999886</v>
      </c>
      <c r="E249" s="233">
        <f ca="1">SUM(E213:INDIRECT(ADDRESS(ROW($E$249)-1,5)))</f>
        <v>4872.1100690184994</v>
      </c>
      <c r="G249" s="234"/>
      <c r="H249" s="233">
        <f ca="1">SUM(H213:INDIRECT(ADDRESS(ROW($H$249)-1,8)))</f>
        <v>223.60223199999965</v>
      </c>
      <c r="I249" s="234"/>
      <c r="J249" s="233">
        <f ca="1">SUM(J213:INDIRECT(ADDRESS(ROW($J$249)-1,10)))</f>
        <v>220.18025947061676</v>
      </c>
      <c r="K249" s="234"/>
      <c r="L249" s="233">
        <f ca="1">SUM(L213:INDIRECT(ADDRESS(ROW($L$249)-1,12)))</f>
        <v>216.65015260930537</v>
      </c>
      <c r="M249" s="234"/>
      <c r="N249" s="233">
        <f ca="1">SUM(N213:INDIRECT(ADDRESS(ROW($N$249)-1,14)))</f>
        <v>213.00849437117654</v>
      </c>
      <c r="O249" s="234"/>
      <c r="P249" s="233">
        <f ca="1">SUM(P213:INDIRECT(ADDRESS(ROW($P$249)-1,16)))</f>
        <v>209.2517597327228</v>
      </c>
      <c r="Q249" s="234"/>
      <c r="R249" s="233">
        <f ca="1">SUM(R213:INDIRECT(ADDRESS(ROW($R$249)-1,18)))</f>
        <v>205.37631227969399</v>
      </c>
      <c r="S249" s="234"/>
      <c r="T249" s="233">
        <f ca="1">SUM(T213:INDIRECT(ADDRESS(ROW($T$249)-1,20)))</f>
        <v>201.37840068714939</v>
      </c>
      <c r="U249" s="234"/>
      <c r="V249" s="233">
        <f ca="1">SUM(V213:INDIRECT(ADDRESS(ROW($V$249)-1,22)))</f>
        <v>197.25415508828047</v>
      </c>
      <c r="W249" s="234"/>
      <c r="X249" s="233">
        <f ca="1">SUM(X213:INDIRECT(ADDRESS(ROW($X$249)-1,24)))</f>
        <v>192.99958332848723</v>
      </c>
      <c r="Y249" s="234"/>
      <c r="Z249" s="233">
        <f ca="1">SUM(Z213:INDIRECT(ADDRESS(ROW($Z$249)-1,26)))</f>
        <v>188.61056710108454</v>
      </c>
      <c r="AA249" s="234"/>
      <c r="AB249" s="233">
        <f ca="1">SUM(AB213:INDIRECT(ADDRESS(ROW($AB$249)-1,28)))</f>
        <v>184.08285796089589</v>
      </c>
      <c r="AC249" s="234"/>
      <c r="AD249" s="233">
        <f ca="1">SUM(AD213:INDIRECT(ADDRESS(ROW($AD$249)-1,30)))</f>
        <v>179.41207321187733</v>
      </c>
      <c r="AE249" s="234"/>
      <c r="AF249" s="233">
        <f ca="1">SUM(AF213:INDIRECT(ADDRESS(ROW($AF$249)-1,32)))</f>
        <v>174.59369166478976</v>
      </c>
      <c r="AG249" s="234"/>
      <c r="AH249" s="233">
        <f ca="1">SUM(AH213:INDIRECT(ADDRESS(ROW($AH$249)-1,34)))</f>
        <v>169.62304926081421</v>
      </c>
      <c r="AI249" s="234"/>
      <c r="AJ249" s="233">
        <f ca="1">SUM(AJ213:INDIRECT(ADDRESS(ROW($AJ$249)-1,36)))</f>
        <v>164.49533455687308</v>
      </c>
      <c r="AK249" s="234"/>
      <c r="AL249" s="233">
        <f ca="1">SUM(AL213:INDIRECT(ADDRESS(ROW($AL$249)-1,38)))</f>
        <v>159.20558406828735</v>
      </c>
      <c r="AM249" s="234"/>
      <c r="AN249" s="233">
        <f ca="1">SUM(AN213:INDIRECT(ADDRESS(ROW($AN$249)-1,40)))</f>
        <v>153.74867746426236</v>
      </c>
      <c r="AO249" s="234"/>
      <c r="AP249" s="233">
        <f ca="1">SUM(AP213:INDIRECT(ADDRESS(ROW($AP$249)-1,42)))</f>
        <v>148.11933261155016</v>
      </c>
      <c r="AQ249" s="234"/>
      <c r="AR249" s="233">
        <f ca="1">SUM(AR213:INDIRECT(ADDRESS(ROW($AR$249)-1,44)))</f>
        <v>142.31210046149226</v>
      </c>
      <c r="AS249" s="234"/>
      <c r="AT249" s="233">
        <f ca="1">SUM(AT213:INDIRECT(ADDRESS(ROW($AT$249)-1,46)))</f>
        <v>136.32135977549254</v>
      </c>
      <c r="AU249" s="234"/>
      <c r="AV249" s="233">
        <f ca="1">SUM(AV213:INDIRECT(ADDRESS(ROW($AV$249)-1,48)))</f>
        <v>130.14131168381522</v>
      </c>
      <c r="AW249" s="234"/>
      <c r="AX249" s="233">
        <f ca="1">SUM(AX213:INDIRECT(ADDRESS(ROW($AX$249)-1,50)))</f>
        <v>123.7659740724409</v>
      </c>
      <c r="AY249" s="234"/>
      <c r="AZ249" s="233">
        <f ca="1">SUM(AZ213:INDIRECT(ADDRESS(ROW($AZ$249)-1,52)))</f>
        <v>117.18917579254715</v>
      </c>
      <c r="BA249" s="234"/>
      <c r="BB249" s="233">
        <f ca="1">SUM(BB213:INDIRECT(ADDRESS(ROW($BB$249)-1,54)))</f>
        <v>110.40455068700874</v>
      </c>
      <c r="BC249" s="234"/>
      <c r="BD249" s="233">
        <f ca="1">SUM(BD213:INDIRECT(ADDRESS(ROW($BD$249)-1,56)))</f>
        <v>103.40553142813533</v>
      </c>
      <c r="BE249" s="234"/>
      <c r="BF249" s="233">
        <f ca="1">SUM(BF213:INDIRECT(ADDRESS(ROW($BF$249)-1,58)))</f>
        <v>96.185343160681498</v>
      </c>
      <c r="BG249" s="234"/>
      <c r="BH249" s="233">
        <f ca="1">SUM(BH213:INDIRECT(ADDRESS(ROW($BH$249)-1,60)))</f>
        <v>88.736996943976152</v>
      </c>
      <c r="BI249" s="234"/>
      <c r="BJ249" s="233">
        <f ca="1">SUM(BJ213:INDIRECT(ADDRESS(ROW($BJ$249)-1,62)))</f>
        <v>81.053282986822936</v>
      </c>
      <c r="BK249" s="234"/>
      <c r="BL249" s="233">
        <f ca="1">SUM(BL213:INDIRECT(ADDRESS(ROW($BL$249)-1,64)))</f>
        <v>73.126763668623667</v>
      </c>
      <c r="BM249" s="234"/>
      <c r="BN249" s="233">
        <f ca="1">SUM(BN213:INDIRECT(ADDRESS(ROW($BN$249)-1,66)))</f>
        <v>64.949766339969273</v>
      </c>
      <c r="BO249" s="234"/>
      <c r="BP249" s="233">
        <f ca="1">SUM(BP213:INDIRECT(ADDRESS(ROW($BP$249)-1,68)))</f>
        <v>56.514375895729422</v>
      </c>
      <c r="BQ249" s="234"/>
      <c r="BR249" s="233">
        <f ca="1">SUM(BR213:INDIRECT(ADDRESS(ROW($BR$249)-1,70)))</f>
        <v>47.812427113451591</v>
      </c>
      <c r="BS249" s="234"/>
      <c r="BT249" s="233">
        <f ca="1">SUM(BT213:INDIRECT(ADDRESS(ROW($BT$249)-1,72)))</f>
        <v>38.835496749653785</v>
      </c>
      <c r="BU249" s="234"/>
      <c r="BV249" s="233">
        <f ca="1">SUM(BV213:INDIRECT(ADDRESS(ROW($BV$249)-1,74)))</f>
        <v>29.574895386359966</v>
      </c>
      <c r="BW249" s="234"/>
      <c r="BX249" s="233">
        <f ca="1">SUM(BX213:INDIRECT(ADDRESS(ROW($BX$249)-1,76)))</f>
        <v>20.02165901998606</v>
      </c>
      <c r="BY249" s="234"/>
      <c r="BZ249" s="233">
        <f ca="1">SUM(BZ213:INDIRECT(ADDRESS(ROW($BZ$249)-1,78)))</f>
        <v>10.166540384434743</v>
      </c>
      <c r="CA249" s="233">
        <f ca="1">SUM(CA213:INDIRECT(ADDRESS(ROW($CA$249)-1,79)))</f>
        <v>4872.1100690184994</v>
      </c>
    </row>
    <row r="250" spans="2:79" s="38" customFormat="1" ht="15.95" customHeight="1" thickBot="1" x14ac:dyDescent="0.3">
      <c r="B250" s="235"/>
      <c r="C250" s="575" t="str">
        <f ca="1">IF(OR(($C$249-$C$259)&gt;0.01,($C$249-$C$259)&lt;-0.01,($D$249-$D$259)&gt;0.01,($D$249-$D$259)&lt;-0.01,($E$249-$E$259)&gt;0.01,($E$249-$E$259)&lt;-0.01,($CA$249-$E$259)&gt;0.01,($CA$249-$E$259)&lt;-0.01),"FALTA ATUALIZAR A TABELA 07","")</f>
        <v/>
      </c>
      <c r="D250" s="576"/>
      <c r="E250" s="576"/>
      <c r="F250" s="577"/>
      <c r="G250" s="236"/>
      <c r="H250" s="235"/>
      <c r="I250" s="235"/>
    </row>
    <row r="251" spans="2:79" s="38" customFormat="1" ht="24.95" customHeight="1" x14ac:dyDescent="0.25">
      <c r="C251" s="215" t="s">
        <v>138</v>
      </c>
      <c r="D251" s="237"/>
      <c r="E251" s="237"/>
      <c r="F251" s="190"/>
      <c r="G251" s="190"/>
      <c r="H251" s="191"/>
    </row>
    <row r="252" spans="2:79" s="38" customFormat="1" ht="15.95" customHeight="1" x14ac:dyDescent="0.25">
      <c r="C252" s="192" t="s">
        <v>194</v>
      </c>
      <c r="D252" s="61"/>
      <c r="E252" s="61"/>
      <c r="F252" s="40"/>
      <c r="G252" s="40"/>
      <c r="H252" s="59"/>
      <c r="I252" s="38" t="s">
        <v>139</v>
      </c>
    </row>
    <row r="253" spans="2:79" s="38" customFormat="1" ht="15.95" customHeight="1" x14ac:dyDescent="0.25">
      <c r="C253" s="192" t="s">
        <v>195</v>
      </c>
      <c r="D253" s="61"/>
      <c r="E253" s="61"/>
      <c r="F253" s="40"/>
      <c r="G253" s="40"/>
      <c r="H253" s="59"/>
      <c r="I253" s="38" t="s">
        <v>139</v>
      </c>
      <c r="J253" s="204"/>
    </row>
    <row r="254" spans="2:79" s="38" customFormat="1" ht="15.95" customHeight="1" x14ac:dyDescent="0.25">
      <c r="C254" s="192" t="s">
        <v>334</v>
      </c>
      <c r="D254" s="61"/>
      <c r="E254" s="61"/>
      <c r="F254" s="40"/>
      <c r="G254" s="40"/>
      <c r="H254" s="59"/>
    </row>
    <row r="255" spans="2:79" s="38" customFormat="1" ht="15.95" customHeight="1" x14ac:dyDescent="0.25">
      <c r="C255" s="192" t="s">
        <v>330</v>
      </c>
      <c r="D255" s="61"/>
      <c r="E255" s="61"/>
      <c r="F255" s="40"/>
      <c r="G255" s="40"/>
      <c r="H255" s="59"/>
    </row>
    <row r="256" spans="2:79" s="38" customFormat="1" ht="15.95" customHeight="1" x14ac:dyDescent="0.25">
      <c r="C256" s="192"/>
      <c r="D256" s="61"/>
      <c r="E256" s="61"/>
      <c r="F256" s="40"/>
      <c r="G256" s="40"/>
      <c r="H256" s="59"/>
    </row>
    <row r="257" spans="2:22" s="38" customFormat="1" ht="24.95" customHeight="1" x14ac:dyDescent="0.25">
      <c r="C257" s="392" t="s">
        <v>133</v>
      </c>
      <c r="D257" s="61"/>
      <c r="E257" s="61"/>
      <c r="F257" s="40"/>
      <c r="G257" s="40"/>
      <c r="H257" s="59"/>
    </row>
    <row r="258" spans="2:22" s="38" customFormat="1" ht="20.100000000000001" customHeight="1" x14ac:dyDescent="0.25">
      <c r="C258" s="224" t="s">
        <v>18</v>
      </c>
      <c r="D258" s="225" t="s">
        <v>24</v>
      </c>
      <c r="E258" s="225" t="s">
        <v>38</v>
      </c>
      <c r="F258" s="40"/>
      <c r="G258" s="40"/>
      <c r="H258" s="59"/>
    </row>
    <row r="259" spans="2:22" s="38" customFormat="1" ht="15.95" customHeight="1" thickBot="1" x14ac:dyDescent="0.3">
      <c r="C259" s="227">
        <f>$C$90</f>
        <v>11948.130069018489</v>
      </c>
      <c r="D259" s="228">
        <f>$D$90</f>
        <v>7076.02</v>
      </c>
      <c r="E259" s="228">
        <f>$E$90</f>
        <v>4872.1100690184885</v>
      </c>
      <c r="F259" s="196"/>
      <c r="G259" s="196"/>
      <c r="H259" s="197"/>
    </row>
    <row r="260" spans="2:22" s="38" customFormat="1" ht="15.95" customHeight="1" x14ac:dyDescent="0.25"/>
    <row r="261" spans="2:22" ht="24.95" customHeight="1" x14ac:dyDescent="0.25">
      <c r="B261" s="384" t="s">
        <v>197</v>
      </c>
    </row>
    <row r="262" spans="2:22" s="38" customFormat="1" ht="15.95" customHeight="1" x14ac:dyDescent="0.25">
      <c r="B262" s="40" t="s">
        <v>628</v>
      </c>
      <c r="C262" s="121"/>
      <c r="D262" s="130"/>
      <c r="E262" s="121"/>
      <c r="F262" s="121"/>
      <c r="G262" s="40"/>
      <c r="H262" s="131"/>
      <c r="I262" s="131"/>
      <c r="J262" s="40"/>
      <c r="K262" s="40"/>
      <c r="L262" s="131"/>
      <c r="M262" s="131"/>
      <c r="N262" s="40"/>
      <c r="O262" s="40"/>
      <c r="P262" s="131"/>
      <c r="Q262" s="131"/>
      <c r="R262" s="40"/>
      <c r="S262" s="40"/>
      <c r="T262" s="131"/>
      <c r="U262" s="131"/>
      <c r="V262" s="40"/>
    </row>
    <row r="263" spans="2:22" s="38" customFormat="1" ht="15.95" customHeight="1" x14ac:dyDescent="0.25">
      <c r="B263" s="40" t="s">
        <v>629</v>
      </c>
      <c r="C263" s="121"/>
      <c r="D263" s="130"/>
      <c r="E263" s="121"/>
      <c r="F263" s="121"/>
      <c r="G263" s="40"/>
      <c r="H263" s="131"/>
      <c r="I263" s="131"/>
      <c r="J263" s="40"/>
      <c r="K263" s="40"/>
      <c r="L263" s="131"/>
      <c r="M263" s="131"/>
      <c r="N263" s="40"/>
      <c r="O263" s="40"/>
      <c r="P263" s="131"/>
      <c r="Q263" s="131"/>
      <c r="R263" s="40"/>
      <c r="S263" s="40"/>
      <c r="T263" s="131"/>
      <c r="U263" s="131"/>
      <c r="V263" s="40"/>
    </row>
    <row r="264" spans="2:22" s="38" customFormat="1" ht="15.95" customHeight="1" x14ac:dyDescent="0.25">
      <c r="B264" s="38" t="s">
        <v>639</v>
      </c>
    </row>
    <row r="265" spans="2:22" s="38" customFormat="1" ht="15.95" customHeight="1" x14ac:dyDescent="0.25">
      <c r="B265" s="38" t="s">
        <v>201</v>
      </c>
    </row>
    <row r="266" spans="2:22" s="38" customFormat="1" ht="15.95" customHeight="1" x14ac:dyDescent="0.25">
      <c r="B266" s="38" t="s">
        <v>202</v>
      </c>
    </row>
    <row r="267" spans="2:22" s="38" customFormat="1" ht="15.95" customHeight="1" x14ac:dyDescent="0.25">
      <c r="B267" s="38" t="s">
        <v>203</v>
      </c>
    </row>
    <row r="268" spans="2:22" s="38" customFormat="1" ht="15.95" customHeight="1" x14ac:dyDescent="0.25">
      <c r="B268" s="38" t="s">
        <v>204</v>
      </c>
    </row>
    <row r="269" spans="2:22" s="38" customFormat="1" ht="15.95" customHeight="1" x14ac:dyDescent="0.25">
      <c r="B269" s="38" t="s">
        <v>205</v>
      </c>
    </row>
    <row r="270" spans="2:22" s="38" customFormat="1" ht="15.95" customHeight="1" x14ac:dyDescent="0.25">
      <c r="B270" s="38" t="s">
        <v>631</v>
      </c>
    </row>
    <row r="271" spans="2:22" s="38" customFormat="1" ht="15.95" customHeight="1" x14ac:dyDescent="0.25">
      <c r="B271" s="38" t="s">
        <v>627</v>
      </c>
    </row>
    <row r="272" spans="2:22" s="38" customFormat="1" ht="15.95" customHeight="1" x14ac:dyDescent="0.25">
      <c r="B272" s="38" t="s">
        <v>640</v>
      </c>
    </row>
    <row r="273" spans="2:12" s="38" customFormat="1" ht="15.95" customHeight="1" x14ac:dyDescent="0.25">
      <c r="B273" s="38" t="s">
        <v>151</v>
      </c>
    </row>
    <row r="274" spans="2:12" s="38" customFormat="1" ht="15.95" customHeight="1" x14ac:dyDescent="0.25"/>
    <row r="275" spans="2:12" ht="24.95" customHeight="1" x14ac:dyDescent="0.25">
      <c r="B275" s="384" t="s">
        <v>76</v>
      </c>
      <c r="C275" s="24"/>
      <c r="D275" s="24"/>
      <c r="E275" s="24"/>
      <c r="F275" s="23"/>
      <c r="L275" s="17"/>
    </row>
    <row r="276" spans="2:12" s="38" customFormat="1" ht="15.95" customHeight="1" x14ac:dyDescent="0.25">
      <c r="B276" s="38" t="s">
        <v>77</v>
      </c>
    </row>
    <row r="277" spans="2:12" s="38" customFormat="1" ht="15.95" customHeight="1" x14ac:dyDescent="0.25">
      <c r="B277" s="38" t="s">
        <v>84</v>
      </c>
    </row>
    <row r="278" spans="2:12" s="38" customFormat="1" ht="15.95" customHeight="1" x14ac:dyDescent="0.25">
      <c r="C278" s="568" t="s">
        <v>143</v>
      </c>
      <c r="D278" s="568"/>
      <c r="E278" s="125">
        <f>$G$213</f>
        <v>321.72596153274549</v>
      </c>
      <c r="F278" s="257" t="s">
        <v>141</v>
      </c>
      <c r="G278" s="122"/>
      <c r="H278" s="121"/>
      <c r="I278" s="130"/>
    </row>
    <row r="279" spans="2:12" s="38" customFormat="1" ht="15.95" customHeight="1" x14ac:dyDescent="0.25">
      <c r="C279" s="25" t="s">
        <v>144</v>
      </c>
      <c r="E279" s="125">
        <f>$H$213</f>
        <v>10.166540384434759</v>
      </c>
      <c r="F279" s="257" t="s">
        <v>154</v>
      </c>
      <c r="G279" s="25"/>
      <c r="I279" s="140">
        <f>$E$32</f>
        <v>3.1600000000000003E-2</v>
      </c>
      <c r="J279" s="239"/>
      <c r="K279" s="125">
        <f>$G$213</f>
        <v>321.72596153274549</v>
      </c>
      <c r="L279" s="143" t="s">
        <v>217</v>
      </c>
    </row>
    <row r="280" spans="2:12" s="38" customFormat="1" ht="15.95" customHeight="1" x14ac:dyDescent="0.25">
      <c r="C280" s="121"/>
      <c r="D280" s="130"/>
    </row>
    <row r="281" spans="2:12" s="38" customFormat="1" ht="15.95" customHeight="1" x14ac:dyDescent="0.25">
      <c r="B281" s="38" t="s">
        <v>85</v>
      </c>
    </row>
    <row r="282" spans="2:12" s="38" customFormat="1" ht="15.95" customHeight="1" x14ac:dyDescent="0.25">
      <c r="C282" s="25" t="s">
        <v>145</v>
      </c>
      <c r="D282" s="121"/>
      <c r="E282" s="125">
        <f>$E$213</f>
        <v>10.166540384434768</v>
      </c>
    </row>
    <row r="283" spans="2:12" s="38" customFormat="1" ht="15.95" customHeight="1" x14ac:dyDescent="0.25">
      <c r="L283" s="203"/>
    </row>
    <row r="284" spans="2:12" s="38" customFormat="1" ht="15.95" customHeight="1" x14ac:dyDescent="0.25">
      <c r="B284" s="38" t="s">
        <v>78</v>
      </c>
    </row>
    <row r="285" spans="2:12" s="38" customFormat="1" ht="15.95" customHeight="1" x14ac:dyDescent="0.25">
      <c r="B285" s="38" t="s">
        <v>84</v>
      </c>
    </row>
    <row r="286" spans="2:12" s="38" customFormat="1" ht="15.95" customHeight="1" x14ac:dyDescent="0.25">
      <c r="C286" s="568" t="s">
        <v>143</v>
      </c>
      <c r="D286" s="568"/>
      <c r="E286" s="125">
        <f>$G$214</f>
        <v>311.87084289719411</v>
      </c>
      <c r="F286" s="257" t="s">
        <v>142</v>
      </c>
      <c r="G286" s="240"/>
      <c r="H286" s="121"/>
      <c r="I286" s="130"/>
    </row>
    <row r="287" spans="2:12" s="38" customFormat="1" ht="15.95" customHeight="1" x14ac:dyDescent="0.25">
      <c r="C287" s="25" t="s">
        <v>144</v>
      </c>
      <c r="D287" s="130"/>
      <c r="E287" s="125">
        <f>$H$214</f>
        <v>9.8551186355513352</v>
      </c>
      <c r="F287" s="257" t="s">
        <v>154</v>
      </c>
      <c r="G287" s="25"/>
      <c r="I287" s="140">
        <f>$E$32</f>
        <v>3.1600000000000003E-2</v>
      </c>
      <c r="J287" s="239"/>
      <c r="K287" s="125">
        <f>$G$214</f>
        <v>311.87084289719411</v>
      </c>
      <c r="L287" s="143" t="s">
        <v>217</v>
      </c>
    </row>
    <row r="288" spans="2:12" s="38" customFormat="1" ht="15.95" customHeight="1" x14ac:dyDescent="0.25"/>
    <row r="289" spans="1:12" s="38" customFormat="1" ht="15.95" customHeight="1" x14ac:dyDescent="0.25">
      <c r="B289" s="38" t="s">
        <v>86</v>
      </c>
    </row>
    <row r="290" spans="1:12" s="38" customFormat="1" ht="15.95" customHeight="1" x14ac:dyDescent="0.25">
      <c r="C290" s="568" t="s">
        <v>147</v>
      </c>
      <c r="D290" s="568"/>
      <c r="E290" s="125">
        <f>$I$214</f>
        <v>321.72596153274543</v>
      </c>
      <c r="F290" s="257" t="s">
        <v>146</v>
      </c>
      <c r="G290" s="40"/>
      <c r="H290" s="40"/>
      <c r="I290" s="125">
        <f>$G$214</f>
        <v>311.87084289719411</v>
      </c>
      <c r="J290" s="25"/>
      <c r="K290" s="125">
        <f>$H$214</f>
        <v>9.8551186355513352</v>
      </c>
      <c r="L290" s="143" t="s">
        <v>220</v>
      </c>
    </row>
    <row r="291" spans="1:12" s="38" customFormat="1" ht="15.95" customHeight="1" x14ac:dyDescent="0.25">
      <c r="C291" s="25" t="s">
        <v>148</v>
      </c>
      <c r="E291" s="125">
        <f>$J$214</f>
        <v>10.166540384434757</v>
      </c>
      <c r="F291" s="257" t="s">
        <v>154</v>
      </c>
      <c r="I291" s="140">
        <f>$E$32</f>
        <v>3.1600000000000003E-2</v>
      </c>
      <c r="J291" s="239"/>
      <c r="K291" s="125">
        <f>$I$214</f>
        <v>321.72596153274543</v>
      </c>
      <c r="L291" s="143" t="s">
        <v>218</v>
      </c>
    </row>
    <row r="292" spans="1:12" s="38" customFormat="1" ht="15.95" customHeight="1" x14ac:dyDescent="0.25"/>
    <row r="293" spans="1:12" s="38" customFormat="1" ht="15.95" customHeight="1" x14ac:dyDescent="0.25">
      <c r="B293" s="38" t="s">
        <v>85</v>
      </c>
    </row>
    <row r="294" spans="1:12" s="38" customFormat="1" ht="15.95" customHeight="1" x14ac:dyDescent="0.25">
      <c r="C294" s="25" t="s">
        <v>149</v>
      </c>
      <c r="E294" s="125">
        <f>$E$214</f>
        <v>20.021659019986146</v>
      </c>
      <c r="F294" s="257" t="s">
        <v>206</v>
      </c>
      <c r="I294" s="125">
        <f>$E$287</f>
        <v>9.8551186355513352</v>
      </c>
      <c r="J294" s="25"/>
      <c r="K294" s="125">
        <f>$E$291</f>
        <v>10.166540384434757</v>
      </c>
      <c r="L294" s="143" t="s">
        <v>219</v>
      </c>
    </row>
    <row r="295" spans="1:12" s="38" customFormat="1" ht="15.95" customHeight="1" x14ac:dyDescent="0.25"/>
    <row r="296" spans="1:12" s="38" customFormat="1" ht="15.95" customHeight="1" x14ac:dyDescent="0.25">
      <c r="B296" s="38" t="s">
        <v>150</v>
      </c>
    </row>
    <row r="297" spans="1:12" s="38" customFormat="1" ht="15.95" customHeight="1" x14ac:dyDescent="0.25"/>
    <row r="298" spans="1:12" s="43" customFormat="1" ht="24.95" customHeight="1" x14ac:dyDescent="0.25">
      <c r="A298" s="378" t="s">
        <v>875</v>
      </c>
    </row>
    <row r="299" spans="1:12" s="38" customFormat="1" ht="15.95" customHeight="1" x14ac:dyDescent="0.25">
      <c r="B299" s="38" t="s">
        <v>244</v>
      </c>
    </row>
    <row r="300" spans="1:12" s="38" customFormat="1" ht="15.95" customHeight="1" x14ac:dyDescent="0.25">
      <c r="B300" s="38" t="s">
        <v>245</v>
      </c>
    </row>
    <row r="301" spans="1:12" s="38" customFormat="1" ht="15.95" customHeight="1" x14ac:dyDescent="0.25"/>
    <row r="302" spans="1:12" s="38" customFormat="1" ht="15.95" customHeight="1" x14ac:dyDescent="0.25">
      <c r="B302" s="536" t="s">
        <v>706</v>
      </c>
      <c r="C302" s="537"/>
      <c r="D302" s="537"/>
      <c r="E302" s="537"/>
      <c r="F302" s="538"/>
      <c r="G302" s="354"/>
    </row>
    <row r="303" spans="1:12" s="38" customFormat="1" ht="15.95" customHeight="1" x14ac:dyDescent="0.25">
      <c r="B303" s="539"/>
      <c r="C303" s="540"/>
      <c r="D303" s="540"/>
      <c r="E303" s="540"/>
      <c r="F303" s="541"/>
      <c r="G303" s="354"/>
    </row>
    <row r="304" spans="1:12" s="38" customFormat="1" ht="15.95" customHeight="1" x14ac:dyDescent="0.25">
      <c r="B304" s="539"/>
      <c r="C304" s="540"/>
      <c r="D304" s="540"/>
      <c r="E304" s="540"/>
      <c r="F304" s="541"/>
      <c r="G304" s="354"/>
    </row>
    <row r="305" spans="2:22" s="38" customFormat="1" ht="15.95" customHeight="1" x14ac:dyDescent="0.25">
      <c r="B305" s="542"/>
      <c r="C305" s="543"/>
      <c r="D305" s="543"/>
      <c r="E305" s="543"/>
      <c r="F305" s="544"/>
    </row>
    <row r="306" spans="2:22" s="38" customFormat="1" ht="15.95" customHeight="1" x14ac:dyDescent="0.25"/>
    <row r="307" spans="2:22" s="38" customFormat="1" ht="15.95" customHeight="1" x14ac:dyDescent="0.25">
      <c r="B307" s="40" t="s">
        <v>241</v>
      </c>
    </row>
    <row r="308" spans="2:22" s="38" customFormat="1" ht="15.95" customHeight="1" x14ac:dyDescent="0.25">
      <c r="B308" s="40"/>
    </row>
    <row r="309" spans="2:22" ht="24.95" customHeight="1" x14ac:dyDescent="0.25">
      <c r="B309" s="383" t="s">
        <v>558</v>
      </c>
      <c r="C309" s="96"/>
      <c r="D309" s="26"/>
      <c r="E309" s="96"/>
      <c r="F309" s="96"/>
      <c r="G309" s="21"/>
      <c r="H309" s="24"/>
      <c r="I309" s="24"/>
      <c r="J309" s="21"/>
      <c r="K309" s="21"/>
      <c r="L309" s="24"/>
      <c r="M309" s="24"/>
      <c r="N309" s="21"/>
      <c r="O309" s="21"/>
      <c r="P309" s="24"/>
      <c r="Q309" s="24"/>
      <c r="R309" s="21"/>
      <c r="S309" s="21"/>
      <c r="T309" s="24"/>
      <c r="U309" s="24"/>
      <c r="V309" s="21"/>
    </row>
    <row r="310" spans="2:22" s="38" customFormat="1" ht="15.95" customHeight="1" x14ac:dyDescent="0.25"/>
    <row r="311" spans="2:22" ht="24.95" customHeight="1" x14ac:dyDescent="0.25">
      <c r="B311" s="390" t="s">
        <v>242</v>
      </c>
      <c r="C311" s="21"/>
      <c r="D311" s="21"/>
      <c r="E311" s="21"/>
      <c r="F311" s="21"/>
      <c r="G311" s="21"/>
      <c r="H311" s="21"/>
      <c r="I311" s="21"/>
      <c r="J311" s="21"/>
      <c r="K311" s="21"/>
    </row>
    <row r="312" spans="2:22" s="38" customFormat="1" ht="20.100000000000001" customHeight="1" x14ac:dyDescent="0.25">
      <c r="B312" s="490" t="s">
        <v>20</v>
      </c>
      <c r="C312" s="485" t="s">
        <v>47</v>
      </c>
      <c r="D312" s="485"/>
      <c r="E312" s="485" t="s">
        <v>48</v>
      </c>
      <c r="F312" s="485"/>
      <c r="G312" s="51" t="s">
        <v>62</v>
      </c>
      <c r="H312" s="241"/>
      <c r="I312" s="40"/>
      <c r="J312" s="40"/>
      <c r="K312" s="40"/>
    </row>
    <row r="313" spans="2:22" s="38" customFormat="1" ht="20.100000000000001" customHeight="1" x14ac:dyDescent="0.25">
      <c r="B313" s="490"/>
      <c r="C313" s="104" t="s">
        <v>24</v>
      </c>
      <c r="D313" s="104" t="s">
        <v>21</v>
      </c>
      <c r="E313" s="104" t="s">
        <v>24</v>
      </c>
      <c r="F313" s="104" t="s">
        <v>21</v>
      </c>
      <c r="G313" s="50" t="s">
        <v>240</v>
      </c>
      <c r="H313" s="241"/>
      <c r="I313" s="40"/>
      <c r="J313" s="40"/>
      <c r="K313" s="40"/>
    </row>
    <row r="314" spans="2:22" s="38" customFormat="1" ht="15.95" customHeight="1" x14ac:dyDescent="0.25">
      <c r="B314" s="129">
        <v>100</v>
      </c>
      <c r="C314" s="129">
        <f>B314</f>
        <v>100</v>
      </c>
      <c r="D314" s="129">
        <f>C314*0.1</f>
        <v>10</v>
      </c>
      <c r="E314" s="129">
        <f>C314+D314</f>
        <v>110</v>
      </c>
      <c r="F314" s="129">
        <f>E314*0.1</f>
        <v>11</v>
      </c>
      <c r="G314" s="242">
        <f>D314+F314</f>
        <v>21</v>
      </c>
      <c r="H314" s="241"/>
      <c r="I314" s="40"/>
      <c r="J314" s="40"/>
      <c r="K314" s="40"/>
    </row>
    <row r="315" spans="2:22" s="38" customFormat="1" ht="15.95" customHeight="1" x14ac:dyDescent="0.25">
      <c r="D315" s="40"/>
      <c r="E315" s="40"/>
      <c r="F315" s="40"/>
      <c r="G315" s="241"/>
      <c r="H315" s="241"/>
      <c r="I315" s="40"/>
      <c r="J315" s="40"/>
      <c r="K315" s="40"/>
    </row>
    <row r="316" spans="2:22" s="38" customFormat="1" ht="15.95" customHeight="1" x14ac:dyDescent="0.25">
      <c r="B316" s="40" t="s">
        <v>246</v>
      </c>
      <c r="D316" s="40"/>
      <c r="E316" s="40"/>
      <c r="F316" s="40"/>
      <c r="G316" s="241"/>
      <c r="H316" s="241"/>
      <c r="I316" s="40"/>
      <c r="J316" s="40"/>
      <c r="K316" s="40"/>
    </row>
    <row r="317" spans="2:22" s="38" customFormat="1" ht="15.95" customHeight="1" x14ac:dyDescent="0.25">
      <c r="B317" s="40" t="s">
        <v>247</v>
      </c>
      <c r="D317" s="40"/>
      <c r="E317" s="40"/>
      <c r="F317" s="40"/>
      <c r="G317" s="241"/>
      <c r="H317" s="241"/>
      <c r="I317" s="40"/>
      <c r="J317" s="40"/>
      <c r="K317" s="40"/>
    </row>
    <row r="318" spans="2:22" s="38" customFormat="1" ht="15.95" customHeight="1" x14ac:dyDescent="0.25">
      <c r="B318" s="40" t="s">
        <v>248</v>
      </c>
      <c r="D318" s="40"/>
      <c r="E318" s="40"/>
      <c r="F318" s="40"/>
      <c r="G318" s="241"/>
      <c r="H318" s="241"/>
      <c r="I318" s="40"/>
      <c r="J318" s="40"/>
      <c r="K318" s="40"/>
    </row>
    <row r="319" spans="2:22" s="38" customFormat="1" ht="15.95" customHeight="1" x14ac:dyDescent="0.25">
      <c r="B319" s="40" t="s">
        <v>249</v>
      </c>
      <c r="C319" s="40"/>
      <c r="D319" s="40"/>
      <c r="E319" s="40"/>
      <c r="F319" s="40"/>
      <c r="G319" s="40"/>
      <c r="H319" s="40"/>
      <c r="I319" s="40"/>
      <c r="J319" s="40"/>
      <c r="K319" s="40"/>
    </row>
    <row r="320" spans="2:22" s="38" customFormat="1" ht="15.95" customHeight="1" x14ac:dyDescent="0.25">
      <c r="B320" s="40" t="s">
        <v>561</v>
      </c>
      <c r="D320" s="40"/>
      <c r="E320" s="40"/>
      <c r="F320" s="40"/>
      <c r="G320" s="40"/>
      <c r="H320" s="40"/>
      <c r="I320" s="40"/>
      <c r="J320" s="40"/>
      <c r="K320" s="40"/>
    </row>
    <row r="321" spans="2:22" s="38" customFormat="1" ht="15.95" customHeight="1" x14ac:dyDescent="0.25">
      <c r="B321" s="40"/>
      <c r="D321" s="40"/>
      <c r="E321" s="40"/>
      <c r="F321" s="40"/>
      <c r="G321" s="40"/>
      <c r="H321" s="40"/>
      <c r="I321" s="40"/>
      <c r="J321" s="40"/>
      <c r="K321" s="40"/>
    </row>
    <row r="322" spans="2:22" ht="24.95" customHeight="1" x14ac:dyDescent="0.25">
      <c r="B322" s="383" t="s">
        <v>559</v>
      </c>
      <c r="C322" s="96"/>
      <c r="D322" s="26"/>
      <c r="E322" s="96"/>
      <c r="F322" s="96"/>
      <c r="G322" s="21"/>
      <c r="H322" s="24"/>
      <c r="I322" s="24"/>
      <c r="J322" s="21"/>
      <c r="K322" s="21"/>
      <c r="L322" s="24"/>
      <c r="M322" s="24"/>
      <c r="N322" s="21"/>
      <c r="O322" s="21"/>
      <c r="P322" s="24"/>
      <c r="Q322" s="24"/>
      <c r="R322" s="21"/>
      <c r="S322" s="21"/>
      <c r="T322" s="24"/>
      <c r="U322" s="24"/>
      <c r="V322" s="21"/>
    </row>
    <row r="323" spans="2:22" s="38" customFormat="1" ht="15.95" customHeight="1" x14ac:dyDescent="0.25">
      <c r="D323" s="40"/>
      <c r="E323" s="40"/>
      <c r="F323" s="40"/>
      <c r="G323" s="40"/>
      <c r="H323" s="40"/>
      <c r="I323" s="40"/>
      <c r="J323" s="40"/>
      <c r="K323" s="40"/>
    </row>
    <row r="324" spans="2:22" s="38" customFormat="1" ht="24.95" customHeight="1" x14ac:dyDescent="0.25">
      <c r="B324" s="390" t="s">
        <v>243</v>
      </c>
      <c r="D324" s="40"/>
      <c r="E324" s="40"/>
      <c r="F324" s="40"/>
      <c r="G324" s="40"/>
      <c r="H324" s="40"/>
      <c r="I324" s="40"/>
      <c r="J324" s="40"/>
      <c r="K324" s="40"/>
    </row>
    <row r="325" spans="2:22" s="84" customFormat="1" ht="20.100000000000001" customHeight="1" x14ac:dyDescent="0.25">
      <c r="B325" s="570" t="s">
        <v>20</v>
      </c>
      <c r="C325" s="569" t="s">
        <v>47</v>
      </c>
      <c r="D325" s="569"/>
      <c r="E325" s="569" t="s">
        <v>48</v>
      </c>
      <c r="F325" s="569"/>
      <c r="G325" s="243" t="s">
        <v>62</v>
      </c>
      <c r="H325" s="22"/>
      <c r="I325" s="22"/>
      <c r="J325" s="22"/>
      <c r="K325" s="22"/>
    </row>
    <row r="326" spans="2:22" s="84" customFormat="1" ht="20.100000000000001" customHeight="1" x14ac:dyDescent="0.25">
      <c r="B326" s="570"/>
      <c r="C326" s="244" t="s">
        <v>24</v>
      </c>
      <c r="D326" s="244" t="s">
        <v>21</v>
      </c>
      <c r="E326" s="244" t="s">
        <v>24</v>
      </c>
      <c r="F326" s="244" t="s">
        <v>21</v>
      </c>
      <c r="G326" s="245" t="s">
        <v>25</v>
      </c>
      <c r="H326" s="22"/>
      <c r="I326" s="22"/>
      <c r="J326" s="22"/>
      <c r="K326" s="22"/>
    </row>
    <row r="327" spans="2:22" s="38" customFormat="1" ht="15.95" customHeight="1" x14ac:dyDescent="0.25">
      <c r="B327" s="129">
        <v>100</v>
      </c>
      <c r="C327" s="129">
        <f>B327</f>
        <v>100</v>
      </c>
      <c r="D327" s="246">
        <f>C327*0.1</f>
        <v>10</v>
      </c>
      <c r="E327" s="246">
        <v>100</v>
      </c>
      <c r="F327" s="246">
        <f>E327*0.1</f>
        <v>10</v>
      </c>
      <c r="G327" s="242">
        <f>D327+F327</f>
        <v>20</v>
      </c>
      <c r="H327" s="40"/>
      <c r="I327" s="40"/>
      <c r="J327" s="40"/>
      <c r="K327" s="40"/>
    </row>
    <row r="328" spans="2:22" s="38" customFormat="1" ht="15.95" customHeight="1" x14ac:dyDescent="0.25">
      <c r="C328" s="40"/>
      <c r="D328" s="40"/>
      <c r="E328" s="40"/>
      <c r="F328" s="40"/>
      <c r="G328" s="40"/>
      <c r="H328" s="40"/>
      <c r="I328" s="40"/>
      <c r="J328" s="40"/>
      <c r="K328" s="40"/>
    </row>
    <row r="329" spans="2:22" s="38" customFormat="1" ht="15.95" customHeight="1" x14ac:dyDescent="0.25">
      <c r="B329" s="40" t="s">
        <v>246</v>
      </c>
      <c r="C329" s="40"/>
      <c r="J329" s="40"/>
      <c r="K329" s="40"/>
    </row>
    <row r="330" spans="2:22" s="38" customFormat="1" ht="15.95" customHeight="1" x14ac:dyDescent="0.25">
      <c r="B330" s="40" t="s">
        <v>247</v>
      </c>
      <c r="C330" s="40"/>
      <c r="J330" s="40"/>
      <c r="K330" s="40"/>
    </row>
    <row r="331" spans="2:22" s="38" customFormat="1" ht="15.95" customHeight="1" x14ac:dyDescent="0.25">
      <c r="B331" s="40" t="s">
        <v>250</v>
      </c>
      <c r="C331" s="40"/>
      <c r="J331" s="40"/>
      <c r="K331" s="40"/>
    </row>
    <row r="332" spans="2:22" s="38" customFormat="1" ht="15.95" customHeight="1" x14ac:dyDescent="0.25">
      <c r="B332" s="40" t="s">
        <v>251</v>
      </c>
      <c r="C332" s="40"/>
      <c r="D332" s="40"/>
      <c r="E332" s="40"/>
      <c r="F332" s="40"/>
      <c r="G332" s="40"/>
      <c r="H332" s="40"/>
      <c r="I332" s="40"/>
      <c r="J332" s="40"/>
      <c r="K332" s="40"/>
    </row>
    <row r="333" spans="2:22" s="38" customFormat="1" ht="15.95" customHeight="1" x14ac:dyDescent="0.25">
      <c r="B333" s="40" t="s">
        <v>562</v>
      </c>
      <c r="D333" s="40"/>
      <c r="E333" s="40"/>
      <c r="F333" s="40"/>
      <c r="G333" s="40"/>
      <c r="H333" s="40"/>
      <c r="I333" s="40"/>
      <c r="J333" s="40"/>
      <c r="K333" s="40"/>
    </row>
    <row r="334" spans="2:22" s="38" customFormat="1" ht="15.95" customHeight="1" x14ac:dyDescent="0.25">
      <c r="B334" s="40"/>
      <c r="D334" s="40"/>
      <c r="E334" s="40"/>
      <c r="F334" s="40"/>
      <c r="G334" s="40"/>
      <c r="H334" s="40"/>
      <c r="I334" s="40"/>
      <c r="J334" s="40"/>
      <c r="K334" s="40"/>
    </row>
    <row r="335" spans="2:22" ht="24.95" customHeight="1" x14ac:dyDescent="0.25">
      <c r="B335" s="383" t="s">
        <v>560</v>
      </c>
      <c r="C335" s="96"/>
      <c r="D335" s="26"/>
      <c r="E335" s="96"/>
      <c r="F335" s="96"/>
      <c r="G335" s="21"/>
      <c r="H335" s="24"/>
      <c r="I335" s="24"/>
      <c r="J335" s="21"/>
      <c r="K335" s="21"/>
      <c r="L335" s="24"/>
      <c r="M335" s="24"/>
      <c r="N335" s="21"/>
      <c r="O335" s="21"/>
      <c r="P335" s="24"/>
      <c r="Q335" s="24"/>
      <c r="R335" s="21"/>
      <c r="S335" s="21"/>
      <c r="T335" s="24"/>
      <c r="U335" s="24"/>
      <c r="V335" s="21"/>
    </row>
    <row r="336" spans="2:22" s="38" customFormat="1" ht="15.95" customHeight="1" x14ac:dyDescent="0.25">
      <c r="D336" s="40"/>
      <c r="E336" s="40"/>
      <c r="F336" s="40"/>
      <c r="G336" s="40"/>
      <c r="H336" s="40"/>
      <c r="I336" s="40"/>
      <c r="J336" s="40"/>
      <c r="K336" s="40"/>
    </row>
    <row r="337" spans="2:11" s="38" customFormat="1" ht="24.95" customHeight="1" x14ac:dyDescent="0.25">
      <c r="B337" s="390" t="s">
        <v>910</v>
      </c>
      <c r="D337" s="40"/>
      <c r="E337" s="40"/>
      <c r="F337" s="40"/>
      <c r="G337" s="40"/>
      <c r="H337" s="40"/>
      <c r="I337" s="40"/>
      <c r="J337" s="40"/>
      <c r="K337" s="40"/>
    </row>
    <row r="338" spans="2:11" s="38" customFormat="1" ht="20.100000000000001" customHeight="1" x14ac:dyDescent="0.25">
      <c r="B338" s="490" t="s">
        <v>20</v>
      </c>
      <c r="C338" s="485" t="s">
        <v>47</v>
      </c>
      <c r="D338" s="485"/>
      <c r="E338" s="485" t="s">
        <v>48</v>
      </c>
      <c r="F338" s="485"/>
      <c r="G338" s="51" t="s">
        <v>62</v>
      </c>
      <c r="H338" s="40"/>
      <c r="I338" s="40"/>
      <c r="J338" s="40"/>
      <c r="K338" s="40"/>
    </row>
    <row r="339" spans="2:11" s="38" customFormat="1" ht="20.100000000000001" customHeight="1" x14ac:dyDescent="0.25">
      <c r="B339" s="490"/>
      <c r="C339" s="104" t="s">
        <v>24</v>
      </c>
      <c r="D339" s="104" t="s">
        <v>21</v>
      </c>
      <c r="E339" s="104" t="s">
        <v>24</v>
      </c>
      <c r="F339" s="104" t="s">
        <v>21</v>
      </c>
      <c r="G339" s="50" t="s">
        <v>26</v>
      </c>
      <c r="H339" s="40"/>
      <c r="I339" s="40"/>
      <c r="J339" s="40"/>
      <c r="K339" s="40"/>
    </row>
    <row r="340" spans="2:11" s="38" customFormat="1" ht="15.95" customHeight="1" x14ac:dyDescent="0.25">
      <c r="B340" s="129">
        <v>100</v>
      </c>
      <c r="C340" s="129">
        <v>0</v>
      </c>
      <c r="D340" s="246">
        <v>0</v>
      </c>
      <c r="E340" s="246">
        <v>10</v>
      </c>
      <c r="F340" s="246">
        <f>E340*0.1</f>
        <v>1</v>
      </c>
      <c r="G340" s="242">
        <f>D340+F340</f>
        <v>1</v>
      </c>
      <c r="H340" s="40"/>
      <c r="I340" s="40"/>
      <c r="J340" s="40"/>
      <c r="K340" s="40"/>
    </row>
    <row r="341" spans="2:11" s="38" customFormat="1" ht="15.95" customHeight="1" x14ac:dyDescent="0.25">
      <c r="C341" s="40"/>
      <c r="D341" s="40"/>
      <c r="E341" s="40"/>
      <c r="F341" s="40"/>
      <c r="G341" s="40"/>
      <c r="H341" s="40"/>
      <c r="I341" s="40"/>
      <c r="J341" s="40"/>
      <c r="K341" s="40"/>
    </row>
    <row r="342" spans="2:11" s="38" customFormat="1" ht="15.95" customHeight="1" x14ac:dyDescent="0.25">
      <c r="B342" s="40" t="s">
        <v>252</v>
      </c>
      <c r="C342" s="40"/>
      <c r="J342" s="40"/>
      <c r="K342" s="40"/>
    </row>
    <row r="343" spans="2:11" s="38" customFormat="1" ht="15.95" customHeight="1" x14ac:dyDescent="0.25">
      <c r="B343" s="40" t="s">
        <v>253</v>
      </c>
      <c r="C343" s="40"/>
      <c r="J343" s="40"/>
      <c r="K343" s="40"/>
    </row>
    <row r="344" spans="2:11" s="38" customFormat="1" ht="15.95" customHeight="1" x14ac:dyDescent="0.25">
      <c r="B344" s="40" t="s">
        <v>254</v>
      </c>
      <c r="C344" s="40"/>
      <c r="J344" s="40"/>
      <c r="K344" s="40"/>
    </row>
    <row r="345" spans="2:11" s="38" customFormat="1" ht="15.95" customHeight="1" x14ac:dyDescent="0.25">
      <c r="B345" s="40" t="s">
        <v>255</v>
      </c>
      <c r="C345" s="40"/>
      <c r="J345" s="40"/>
      <c r="K345" s="40"/>
    </row>
    <row r="346" spans="2:11" s="38" customFormat="1" ht="15.95" customHeight="1" x14ac:dyDescent="0.25">
      <c r="B346" s="40" t="s">
        <v>563</v>
      </c>
      <c r="C346" s="40"/>
      <c r="D346" s="40"/>
      <c r="E346" s="40"/>
      <c r="F346" s="40"/>
      <c r="G346" s="40"/>
      <c r="H346" s="40"/>
      <c r="I346" s="40"/>
      <c r="J346" s="40"/>
      <c r="K346" s="40"/>
    </row>
    <row r="347" spans="2:11" s="38" customFormat="1" ht="15.95" customHeight="1" x14ac:dyDescent="0.25">
      <c r="B347" s="40"/>
      <c r="C347" s="40"/>
      <c r="D347" s="40"/>
      <c r="E347" s="40"/>
      <c r="F347" s="40"/>
      <c r="G347" s="40"/>
      <c r="H347" s="40"/>
      <c r="I347" s="40"/>
      <c r="J347" s="40"/>
      <c r="K347" s="40"/>
    </row>
    <row r="348" spans="2:11" ht="24.95" customHeight="1" x14ac:dyDescent="0.25">
      <c r="B348" s="383" t="s">
        <v>612</v>
      </c>
      <c r="C348" s="21"/>
      <c r="D348" s="21"/>
      <c r="E348" s="21"/>
      <c r="F348" s="21"/>
      <c r="G348" s="21"/>
      <c r="H348" s="21"/>
      <c r="I348" s="21"/>
      <c r="J348" s="21"/>
      <c r="K348" s="21"/>
    </row>
    <row r="349" spans="2:11" s="38" customFormat="1" ht="15.95" customHeight="1" x14ac:dyDescent="0.25">
      <c r="B349" s="82"/>
      <c r="C349" s="40"/>
      <c r="D349" s="40"/>
      <c r="E349" s="40"/>
      <c r="F349" s="40"/>
      <c r="G349" s="40"/>
      <c r="H349" s="40"/>
      <c r="I349" s="40"/>
      <c r="J349" s="40"/>
      <c r="K349" s="40"/>
    </row>
    <row r="350" spans="2:11" s="38" customFormat="1" ht="15.95" customHeight="1" x14ac:dyDescent="0.25">
      <c r="B350" s="545" t="s">
        <v>707</v>
      </c>
      <c r="C350" s="546"/>
      <c r="D350" s="546"/>
      <c r="E350" s="546"/>
      <c r="F350" s="547"/>
      <c r="G350" s="40"/>
      <c r="H350" s="40"/>
      <c r="I350" s="40"/>
      <c r="J350" s="40"/>
      <c r="K350" s="40"/>
    </row>
    <row r="351" spans="2:11" s="38" customFormat="1" ht="15.95" customHeight="1" x14ac:dyDescent="0.25">
      <c r="B351" s="548"/>
      <c r="C351" s="549"/>
      <c r="D351" s="549"/>
      <c r="E351" s="549"/>
      <c r="F351" s="550"/>
      <c r="G351" s="40"/>
      <c r="H351" s="40"/>
      <c r="I351" s="40"/>
      <c r="J351" s="40"/>
      <c r="K351" s="40"/>
    </row>
    <row r="352" spans="2:11" s="38" customFormat="1" ht="15.95" customHeight="1" x14ac:dyDescent="0.25">
      <c r="B352" s="548"/>
      <c r="C352" s="549"/>
      <c r="D352" s="549"/>
      <c r="E352" s="549"/>
      <c r="F352" s="550"/>
      <c r="G352" s="40"/>
      <c r="H352" s="40"/>
      <c r="I352" s="40"/>
      <c r="J352" s="40"/>
      <c r="K352" s="40"/>
    </row>
    <row r="353" spans="1:153" s="38" customFormat="1" ht="15.95" customHeight="1" x14ac:dyDescent="0.25">
      <c r="B353" s="551"/>
      <c r="C353" s="552"/>
      <c r="D353" s="552"/>
      <c r="E353" s="552"/>
      <c r="F353" s="553"/>
      <c r="G353" s="40"/>
      <c r="H353" s="40"/>
      <c r="I353" s="40"/>
      <c r="J353" s="40"/>
      <c r="K353" s="40"/>
    </row>
    <row r="354" spans="1:153" s="38" customFormat="1" ht="15.95" customHeight="1" x14ac:dyDescent="0.25">
      <c r="C354" s="40"/>
      <c r="D354" s="40"/>
      <c r="E354" s="40"/>
      <c r="F354" s="40"/>
      <c r="G354" s="40"/>
      <c r="H354" s="40"/>
      <c r="I354" s="40"/>
      <c r="J354" s="40"/>
      <c r="K354" s="40"/>
    </row>
    <row r="355" spans="1:153" s="43" customFormat="1" ht="24.95" customHeight="1" x14ac:dyDescent="0.25">
      <c r="A355" s="378" t="s">
        <v>876</v>
      </c>
    </row>
    <row r="356" spans="1:153" s="119" customFormat="1" ht="15.95" customHeight="1" x14ac:dyDescent="0.25">
      <c r="A356" s="52"/>
      <c r="B356" s="247" t="s">
        <v>256</v>
      </c>
    </row>
    <row r="357" spans="1:153" s="119" customFormat="1" ht="15.95" customHeight="1" x14ac:dyDescent="0.25">
      <c r="A357" s="52"/>
      <c r="B357" s="247" t="s">
        <v>605</v>
      </c>
    </row>
    <row r="358" spans="1:153" s="119" customFormat="1" ht="15.95" customHeight="1" x14ac:dyDescent="0.25">
      <c r="B358" s="119" t="s">
        <v>340</v>
      </c>
    </row>
    <row r="359" spans="1:153" s="119" customFormat="1" ht="15.95" customHeight="1" x14ac:dyDescent="0.25"/>
    <row r="360" spans="1:153" s="119" customFormat="1" ht="15.95" customHeight="1" x14ac:dyDescent="0.25">
      <c r="B360" s="247" t="s">
        <v>606</v>
      </c>
    </row>
    <row r="361" spans="1:153" s="119" customFormat="1" ht="15.95" customHeight="1" x14ac:dyDescent="0.25"/>
    <row r="362" spans="1:153" s="38" customFormat="1" ht="24.95" customHeight="1" x14ac:dyDescent="0.25">
      <c r="B362" s="390" t="s">
        <v>326</v>
      </c>
    </row>
    <row r="363" spans="1:153" s="38" customFormat="1" ht="20.100000000000001" customHeight="1" x14ac:dyDescent="0.25">
      <c r="B363" s="485" t="s">
        <v>19</v>
      </c>
      <c r="C363" s="485" t="s">
        <v>31</v>
      </c>
      <c r="D363" s="485"/>
      <c r="E363" s="485"/>
      <c r="F363" s="485"/>
      <c r="G363" s="487" t="s">
        <v>196</v>
      </c>
      <c r="H363" s="488"/>
      <c r="I363" s="488"/>
      <c r="J363" s="488"/>
      <c r="K363" s="488"/>
      <c r="L363" s="488"/>
      <c r="M363" s="488"/>
      <c r="N363" s="488"/>
      <c r="O363" s="488"/>
      <c r="P363" s="488"/>
      <c r="Q363" s="488"/>
      <c r="R363" s="488"/>
      <c r="S363" s="488"/>
      <c r="T363" s="488"/>
      <c r="U363" s="488"/>
      <c r="V363" s="488"/>
      <c r="W363" s="488"/>
      <c r="X363" s="488"/>
      <c r="Y363" s="488"/>
      <c r="Z363" s="488"/>
      <c r="AA363" s="488"/>
      <c r="AB363" s="488"/>
      <c r="AC363" s="488"/>
      <c r="AD363" s="488"/>
      <c r="AE363" s="488"/>
      <c r="AF363" s="488"/>
      <c r="AG363" s="488"/>
      <c r="AH363" s="488"/>
      <c r="AI363" s="488"/>
      <c r="AJ363" s="488"/>
      <c r="AK363" s="488"/>
      <c r="AL363" s="488"/>
      <c r="AM363" s="488"/>
      <c r="AN363" s="488"/>
      <c r="AO363" s="488"/>
      <c r="AP363" s="488"/>
      <c r="AQ363" s="488"/>
      <c r="AR363" s="488"/>
      <c r="AS363" s="488"/>
      <c r="AT363" s="488"/>
      <c r="AU363" s="488"/>
      <c r="AV363" s="488"/>
      <c r="AW363" s="488"/>
      <c r="AX363" s="488"/>
      <c r="AY363" s="488"/>
      <c r="AZ363" s="488"/>
      <c r="BA363" s="488"/>
      <c r="BB363" s="488"/>
      <c r="BC363" s="488"/>
      <c r="BD363" s="488"/>
      <c r="BE363" s="488"/>
      <c r="BF363" s="488"/>
      <c r="BG363" s="488"/>
      <c r="BH363" s="488"/>
      <c r="BI363" s="488"/>
      <c r="BJ363" s="488"/>
      <c r="BK363" s="488"/>
      <c r="BL363" s="488"/>
      <c r="BM363" s="488"/>
      <c r="BN363" s="488"/>
      <c r="BO363" s="488"/>
      <c r="BP363" s="488"/>
      <c r="BQ363" s="488"/>
      <c r="BR363" s="488"/>
      <c r="BS363" s="488"/>
      <c r="BT363" s="488"/>
      <c r="BU363" s="488"/>
      <c r="BV363" s="488"/>
      <c r="BW363" s="488"/>
      <c r="BX363" s="488"/>
      <c r="BY363" s="488"/>
      <c r="BZ363" s="488"/>
      <c r="CA363" s="488"/>
      <c r="CB363" s="488"/>
      <c r="CC363" s="488"/>
      <c r="CD363" s="488"/>
      <c r="CE363" s="488"/>
      <c r="CF363" s="488"/>
      <c r="CG363" s="488"/>
      <c r="CH363" s="488"/>
      <c r="CI363" s="488"/>
      <c r="CJ363" s="488"/>
      <c r="CK363" s="488"/>
      <c r="CL363" s="488"/>
      <c r="CM363" s="488"/>
      <c r="CN363" s="488"/>
      <c r="CO363" s="488"/>
      <c r="CP363" s="488"/>
      <c r="CQ363" s="488"/>
      <c r="CR363" s="488"/>
      <c r="CS363" s="488"/>
      <c r="CT363" s="488"/>
      <c r="CU363" s="488"/>
      <c r="CV363" s="488"/>
      <c r="CW363" s="488"/>
      <c r="CX363" s="488"/>
      <c r="CY363" s="488"/>
      <c r="CZ363" s="488"/>
      <c r="DA363" s="488"/>
      <c r="DB363" s="488"/>
      <c r="DC363" s="488"/>
      <c r="DD363" s="488"/>
      <c r="DE363" s="488"/>
      <c r="DF363" s="488"/>
      <c r="DG363" s="488"/>
      <c r="DH363" s="488"/>
      <c r="DI363" s="488"/>
      <c r="DJ363" s="488"/>
      <c r="DK363" s="488"/>
      <c r="DL363" s="488"/>
      <c r="DM363" s="488"/>
      <c r="DN363" s="488"/>
      <c r="DO363" s="488"/>
      <c r="DP363" s="488"/>
      <c r="DQ363" s="488"/>
      <c r="DR363" s="488"/>
      <c r="DS363" s="488"/>
      <c r="DT363" s="488"/>
      <c r="DU363" s="488"/>
      <c r="DV363" s="488"/>
      <c r="DW363" s="488"/>
      <c r="DX363" s="488"/>
      <c r="DY363" s="488"/>
      <c r="DZ363" s="488"/>
      <c r="EA363" s="488"/>
      <c r="EB363" s="488"/>
      <c r="EC363" s="488"/>
      <c r="ED363" s="488"/>
      <c r="EE363" s="488"/>
      <c r="EF363" s="488"/>
      <c r="EG363" s="488"/>
      <c r="EH363" s="488"/>
      <c r="EI363" s="488"/>
      <c r="EJ363" s="488"/>
      <c r="EK363" s="488"/>
      <c r="EL363" s="488"/>
      <c r="EM363" s="488"/>
      <c r="EN363" s="488"/>
      <c r="EO363" s="488"/>
      <c r="EP363" s="488"/>
      <c r="EQ363" s="488"/>
      <c r="ER363" s="488"/>
      <c r="ES363" s="488"/>
      <c r="ET363" s="488"/>
      <c r="EU363" s="488"/>
      <c r="EV363" s="488"/>
      <c r="EW363" s="489"/>
    </row>
    <row r="364" spans="1:153" s="38" customFormat="1" ht="20.100000000000001" customHeight="1" x14ac:dyDescent="0.25">
      <c r="B364" s="485"/>
      <c r="C364" s="485"/>
      <c r="D364" s="485"/>
      <c r="E364" s="485"/>
      <c r="F364" s="485"/>
      <c r="G364" s="485" t="s">
        <v>47</v>
      </c>
      <c r="H364" s="485"/>
      <c r="I364" s="485"/>
      <c r="J364" s="485"/>
      <c r="K364" s="485" t="s">
        <v>48</v>
      </c>
      <c r="L364" s="485"/>
      <c r="M364" s="485"/>
      <c r="N364" s="485"/>
      <c r="O364" s="485" t="s">
        <v>49</v>
      </c>
      <c r="P364" s="485"/>
      <c r="Q364" s="485"/>
      <c r="R364" s="485"/>
      <c r="S364" s="485" t="s">
        <v>50</v>
      </c>
      <c r="T364" s="485"/>
      <c r="U364" s="485"/>
      <c r="V364" s="485"/>
      <c r="W364" s="485" t="s">
        <v>51</v>
      </c>
      <c r="X364" s="485"/>
      <c r="Y364" s="485"/>
      <c r="Z364" s="485"/>
      <c r="AA364" s="485" t="s">
        <v>52</v>
      </c>
      <c r="AB364" s="485"/>
      <c r="AC364" s="485"/>
      <c r="AD364" s="485"/>
      <c r="AE364" s="485" t="s">
        <v>53</v>
      </c>
      <c r="AF364" s="485"/>
      <c r="AG364" s="485"/>
      <c r="AH364" s="485"/>
      <c r="AI364" s="485" t="s">
        <v>54</v>
      </c>
      <c r="AJ364" s="485"/>
      <c r="AK364" s="485"/>
      <c r="AL364" s="485"/>
      <c r="AM364" s="485" t="s">
        <v>55</v>
      </c>
      <c r="AN364" s="485"/>
      <c r="AO364" s="485"/>
      <c r="AP364" s="485"/>
      <c r="AQ364" s="485" t="s">
        <v>56</v>
      </c>
      <c r="AR364" s="485"/>
      <c r="AS364" s="485"/>
      <c r="AT364" s="485"/>
      <c r="AU364" s="485" t="s">
        <v>57</v>
      </c>
      <c r="AV364" s="485"/>
      <c r="AW364" s="485"/>
      <c r="AX364" s="485"/>
      <c r="AY364" s="485" t="s">
        <v>58</v>
      </c>
      <c r="AZ364" s="485"/>
      <c r="BA364" s="485"/>
      <c r="BB364" s="485"/>
      <c r="BC364" s="485" t="s">
        <v>59</v>
      </c>
      <c r="BD364" s="485"/>
      <c r="BE364" s="485"/>
      <c r="BF364" s="485"/>
      <c r="BG364" s="485" t="s">
        <v>60</v>
      </c>
      <c r="BH364" s="485"/>
      <c r="BI364" s="485"/>
      <c r="BJ364" s="485"/>
      <c r="BK364" s="485" t="s">
        <v>61</v>
      </c>
      <c r="BL364" s="485"/>
      <c r="BM364" s="485"/>
      <c r="BN364" s="485"/>
      <c r="BO364" s="485" t="s">
        <v>100</v>
      </c>
      <c r="BP364" s="485"/>
      <c r="BQ364" s="485"/>
      <c r="BR364" s="485"/>
      <c r="BS364" s="485" t="s">
        <v>101</v>
      </c>
      <c r="BT364" s="485"/>
      <c r="BU364" s="485"/>
      <c r="BV364" s="485"/>
      <c r="BW364" s="485" t="s">
        <v>102</v>
      </c>
      <c r="BX364" s="485"/>
      <c r="BY364" s="485"/>
      <c r="BZ364" s="485"/>
      <c r="CA364" s="485" t="s">
        <v>103</v>
      </c>
      <c r="CB364" s="485"/>
      <c r="CC364" s="485"/>
      <c r="CD364" s="485"/>
      <c r="CE364" s="485" t="s">
        <v>104</v>
      </c>
      <c r="CF364" s="485"/>
      <c r="CG364" s="485"/>
      <c r="CH364" s="485"/>
      <c r="CI364" s="485" t="s">
        <v>105</v>
      </c>
      <c r="CJ364" s="485"/>
      <c r="CK364" s="485"/>
      <c r="CL364" s="485"/>
      <c r="CM364" s="485" t="s">
        <v>106</v>
      </c>
      <c r="CN364" s="485"/>
      <c r="CO364" s="485"/>
      <c r="CP364" s="485"/>
      <c r="CQ364" s="485" t="s">
        <v>126</v>
      </c>
      <c r="CR364" s="485"/>
      <c r="CS364" s="485"/>
      <c r="CT364" s="485"/>
      <c r="CU364" s="485" t="s">
        <v>107</v>
      </c>
      <c r="CV364" s="485"/>
      <c r="CW364" s="485"/>
      <c r="CX364" s="485"/>
      <c r="CY364" s="485" t="s">
        <v>108</v>
      </c>
      <c r="CZ364" s="485"/>
      <c r="DA364" s="485"/>
      <c r="DB364" s="485"/>
      <c r="DC364" s="485" t="s">
        <v>109</v>
      </c>
      <c r="DD364" s="485"/>
      <c r="DE364" s="485"/>
      <c r="DF364" s="485"/>
      <c r="DG364" s="485" t="s">
        <v>110</v>
      </c>
      <c r="DH364" s="485"/>
      <c r="DI364" s="485"/>
      <c r="DJ364" s="485"/>
      <c r="DK364" s="485" t="s">
        <v>111</v>
      </c>
      <c r="DL364" s="485"/>
      <c r="DM364" s="485"/>
      <c r="DN364" s="485"/>
      <c r="DO364" s="485" t="s">
        <v>112</v>
      </c>
      <c r="DP364" s="485"/>
      <c r="DQ364" s="485"/>
      <c r="DR364" s="485"/>
      <c r="DS364" s="485" t="s">
        <v>113</v>
      </c>
      <c r="DT364" s="485"/>
      <c r="DU364" s="485"/>
      <c r="DV364" s="485"/>
      <c r="DW364" s="485" t="s">
        <v>114</v>
      </c>
      <c r="DX364" s="485"/>
      <c r="DY364" s="485"/>
      <c r="DZ364" s="485"/>
      <c r="EA364" s="485" t="s">
        <v>115</v>
      </c>
      <c r="EB364" s="485"/>
      <c r="EC364" s="485"/>
      <c r="ED364" s="485"/>
      <c r="EE364" s="485" t="s">
        <v>116</v>
      </c>
      <c r="EF364" s="485"/>
      <c r="EG364" s="485"/>
      <c r="EH364" s="485"/>
      <c r="EI364" s="485" t="s">
        <v>117</v>
      </c>
      <c r="EJ364" s="485"/>
      <c r="EK364" s="485"/>
      <c r="EL364" s="485"/>
      <c r="EM364" s="485" t="s">
        <v>118</v>
      </c>
      <c r="EN364" s="485"/>
      <c r="EO364" s="485"/>
      <c r="EP364" s="485"/>
      <c r="EQ364" s="485" t="s">
        <v>119</v>
      </c>
      <c r="ER364" s="485"/>
      <c r="ES364" s="485"/>
      <c r="ET364" s="485"/>
      <c r="EU364" s="485" t="s">
        <v>62</v>
      </c>
      <c r="EV364" s="485"/>
      <c r="EW364" s="485"/>
    </row>
    <row r="365" spans="1:153" s="38" customFormat="1" ht="20.100000000000001" customHeight="1" x14ac:dyDescent="0.25">
      <c r="B365" s="485"/>
      <c r="C365" s="486" t="s">
        <v>17</v>
      </c>
      <c r="D365" s="490" t="s">
        <v>20</v>
      </c>
      <c r="E365" s="486" t="s">
        <v>35</v>
      </c>
      <c r="F365" s="486" t="s">
        <v>22</v>
      </c>
      <c r="G365" s="486" t="s">
        <v>214</v>
      </c>
      <c r="H365" s="486" t="s">
        <v>25</v>
      </c>
      <c r="I365" s="486" t="s">
        <v>43</v>
      </c>
      <c r="J365" s="486" t="s">
        <v>161</v>
      </c>
      <c r="K365" s="486" t="s">
        <v>214</v>
      </c>
      <c r="L365" s="486" t="s">
        <v>25</v>
      </c>
      <c r="M365" s="486" t="s">
        <v>43</v>
      </c>
      <c r="N365" s="486" t="s">
        <v>161</v>
      </c>
      <c r="O365" s="486" t="s">
        <v>214</v>
      </c>
      <c r="P365" s="486" t="s">
        <v>25</v>
      </c>
      <c r="Q365" s="486" t="s">
        <v>43</v>
      </c>
      <c r="R365" s="486" t="s">
        <v>161</v>
      </c>
      <c r="S365" s="486" t="s">
        <v>214</v>
      </c>
      <c r="T365" s="486" t="s">
        <v>25</v>
      </c>
      <c r="U365" s="486" t="s">
        <v>43</v>
      </c>
      <c r="V365" s="486" t="s">
        <v>161</v>
      </c>
      <c r="W365" s="486" t="s">
        <v>214</v>
      </c>
      <c r="X365" s="486" t="s">
        <v>25</v>
      </c>
      <c r="Y365" s="486" t="s">
        <v>43</v>
      </c>
      <c r="Z365" s="486" t="s">
        <v>161</v>
      </c>
      <c r="AA365" s="486" t="s">
        <v>214</v>
      </c>
      <c r="AB365" s="486" t="s">
        <v>25</v>
      </c>
      <c r="AC365" s="486" t="s">
        <v>43</v>
      </c>
      <c r="AD365" s="486" t="s">
        <v>161</v>
      </c>
      <c r="AE365" s="486" t="s">
        <v>214</v>
      </c>
      <c r="AF365" s="486" t="s">
        <v>25</v>
      </c>
      <c r="AG365" s="486" t="s">
        <v>43</v>
      </c>
      <c r="AH365" s="486" t="s">
        <v>161</v>
      </c>
      <c r="AI365" s="486" t="s">
        <v>214</v>
      </c>
      <c r="AJ365" s="486" t="s">
        <v>25</v>
      </c>
      <c r="AK365" s="486" t="s">
        <v>43</v>
      </c>
      <c r="AL365" s="486" t="s">
        <v>161</v>
      </c>
      <c r="AM365" s="486" t="s">
        <v>214</v>
      </c>
      <c r="AN365" s="486" t="s">
        <v>25</v>
      </c>
      <c r="AO365" s="486" t="s">
        <v>43</v>
      </c>
      <c r="AP365" s="486" t="s">
        <v>161</v>
      </c>
      <c r="AQ365" s="486" t="s">
        <v>214</v>
      </c>
      <c r="AR365" s="486" t="s">
        <v>25</v>
      </c>
      <c r="AS365" s="486" t="s">
        <v>43</v>
      </c>
      <c r="AT365" s="486" t="s">
        <v>161</v>
      </c>
      <c r="AU365" s="486" t="s">
        <v>214</v>
      </c>
      <c r="AV365" s="486" t="s">
        <v>25</v>
      </c>
      <c r="AW365" s="486" t="s">
        <v>43</v>
      </c>
      <c r="AX365" s="486" t="s">
        <v>161</v>
      </c>
      <c r="AY365" s="486" t="s">
        <v>214</v>
      </c>
      <c r="AZ365" s="486" t="s">
        <v>25</v>
      </c>
      <c r="BA365" s="486" t="s">
        <v>43</v>
      </c>
      <c r="BB365" s="486" t="s">
        <v>161</v>
      </c>
      <c r="BC365" s="486" t="s">
        <v>214</v>
      </c>
      <c r="BD365" s="486" t="s">
        <v>25</v>
      </c>
      <c r="BE365" s="486" t="s">
        <v>43</v>
      </c>
      <c r="BF365" s="486" t="s">
        <v>161</v>
      </c>
      <c r="BG365" s="486" t="s">
        <v>214</v>
      </c>
      <c r="BH365" s="486" t="s">
        <v>25</v>
      </c>
      <c r="BI365" s="486" t="s">
        <v>43</v>
      </c>
      <c r="BJ365" s="486" t="s">
        <v>161</v>
      </c>
      <c r="BK365" s="486" t="s">
        <v>214</v>
      </c>
      <c r="BL365" s="486" t="s">
        <v>25</v>
      </c>
      <c r="BM365" s="486" t="s">
        <v>43</v>
      </c>
      <c r="BN365" s="486" t="s">
        <v>161</v>
      </c>
      <c r="BO365" s="486" t="s">
        <v>214</v>
      </c>
      <c r="BP365" s="486" t="s">
        <v>25</v>
      </c>
      <c r="BQ365" s="486" t="s">
        <v>43</v>
      </c>
      <c r="BR365" s="486" t="s">
        <v>161</v>
      </c>
      <c r="BS365" s="486" t="s">
        <v>214</v>
      </c>
      <c r="BT365" s="486" t="s">
        <v>25</v>
      </c>
      <c r="BU365" s="486" t="s">
        <v>43</v>
      </c>
      <c r="BV365" s="486" t="s">
        <v>161</v>
      </c>
      <c r="BW365" s="486" t="s">
        <v>214</v>
      </c>
      <c r="BX365" s="486" t="s">
        <v>25</v>
      </c>
      <c r="BY365" s="486" t="s">
        <v>43</v>
      </c>
      <c r="BZ365" s="486" t="s">
        <v>161</v>
      </c>
      <c r="CA365" s="486" t="s">
        <v>214</v>
      </c>
      <c r="CB365" s="486" t="s">
        <v>25</v>
      </c>
      <c r="CC365" s="486" t="s">
        <v>43</v>
      </c>
      <c r="CD365" s="486" t="s">
        <v>161</v>
      </c>
      <c r="CE365" s="486" t="s">
        <v>214</v>
      </c>
      <c r="CF365" s="486" t="s">
        <v>25</v>
      </c>
      <c r="CG365" s="486" t="s">
        <v>43</v>
      </c>
      <c r="CH365" s="486" t="s">
        <v>161</v>
      </c>
      <c r="CI365" s="486" t="s">
        <v>214</v>
      </c>
      <c r="CJ365" s="486" t="s">
        <v>25</v>
      </c>
      <c r="CK365" s="486" t="s">
        <v>43</v>
      </c>
      <c r="CL365" s="486" t="s">
        <v>161</v>
      </c>
      <c r="CM365" s="486" t="s">
        <v>214</v>
      </c>
      <c r="CN365" s="486" t="s">
        <v>25</v>
      </c>
      <c r="CO365" s="486" t="s">
        <v>43</v>
      </c>
      <c r="CP365" s="486" t="s">
        <v>161</v>
      </c>
      <c r="CQ365" s="486" t="s">
        <v>214</v>
      </c>
      <c r="CR365" s="486" t="s">
        <v>25</v>
      </c>
      <c r="CS365" s="486" t="s">
        <v>43</v>
      </c>
      <c r="CT365" s="486" t="s">
        <v>161</v>
      </c>
      <c r="CU365" s="486" t="s">
        <v>214</v>
      </c>
      <c r="CV365" s="486" t="s">
        <v>25</v>
      </c>
      <c r="CW365" s="486" t="s">
        <v>43</v>
      </c>
      <c r="CX365" s="486" t="s">
        <v>161</v>
      </c>
      <c r="CY365" s="486" t="s">
        <v>214</v>
      </c>
      <c r="CZ365" s="486" t="s">
        <v>25</v>
      </c>
      <c r="DA365" s="486" t="s">
        <v>43</v>
      </c>
      <c r="DB365" s="486" t="s">
        <v>161</v>
      </c>
      <c r="DC365" s="486" t="s">
        <v>214</v>
      </c>
      <c r="DD365" s="486" t="s">
        <v>25</v>
      </c>
      <c r="DE365" s="486" t="s">
        <v>43</v>
      </c>
      <c r="DF365" s="486" t="s">
        <v>161</v>
      </c>
      <c r="DG365" s="486" t="s">
        <v>214</v>
      </c>
      <c r="DH365" s="486" t="s">
        <v>25</v>
      </c>
      <c r="DI365" s="486" t="s">
        <v>43</v>
      </c>
      <c r="DJ365" s="486" t="s">
        <v>161</v>
      </c>
      <c r="DK365" s="486" t="s">
        <v>214</v>
      </c>
      <c r="DL365" s="486" t="s">
        <v>25</v>
      </c>
      <c r="DM365" s="486" t="s">
        <v>43</v>
      </c>
      <c r="DN365" s="486" t="s">
        <v>161</v>
      </c>
      <c r="DO365" s="486" t="s">
        <v>214</v>
      </c>
      <c r="DP365" s="486" t="s">
        <v>25</v>
      </c>
      <c r="DQ365" s="486" t="s">
        <v>43</v>
      </c>
      <c r="DR365" s="486" t="s">
        <v>161</v>
      </c>
      <c r="DS365" s="486" t="s">
        <v>214</v>
      </c>
      <c r="DT365" s="486" t="s">
        <v>25</v>
      </c>
      <c r="DU365" s="486" t="s">
        <v>43</v>
      </c>
      <c r="DV365" s="486" t="s">
        <v>161</v>
      </c>
      <c r="DW365" s="486" t="s">
        <v>214</v>
      </c>
      <c r="DX365" s="486" t="s">
        <v>25</v>
      </c>
      <c r="DY365" s="486" t="s">
        <v>43</v>
      </c>
      <c r="DZ365" s="486" t="s">
        <v>161</v>
      </c>
      <c r="EA365" s="486" t="s">
        <v>214</v>
      </c>
      <c r="EB365" s="486" t="s">
        <v>25</v>
      </c>
      <c r="EC365" s="486" t="s">
        <v>43</v>
      </c>
      <c r="ED365" s="486" t="s">
        <v>161</v>
      </c>
      <c r="EE365" s="486" t="s">
        <v>214</v>
      </c>
      <c r="EF365" s="486" t="s">
        <v>25</v>
      </c>
      <c r="EG365" s="486" t="s">
        <v>43</v>
      </c>
      <c r="EH365" s="486" t="s">
        <v>161</v>
      </c>
      <c r="EI365" s="486" t="s">
        <v>214</v>
      </c>
      <c r="EJ365" s="486" t="s">
        <v>25</v>
      </c>
      <c r="EK365" s="486" t="s">
        <v>43</v>
      </c>
      <c r="EL365" s="486" t="s">
        <v>161</v>
      </c>
      <c r="EM365" s="486" t="s">
        <v>214</v>
      </c>
      <c r="EN365" s="486" t="s">
        <v>25</v>
      </c>
      <c r="EO365" s="486" t="s">
        <v>43</v>
      </c>
      <c r="EP365" s="486" t="s">
        <v>161</v>
      </c>
      <c r="EQ365" s="486" t="s">
        <v>214</v>
      </c>
      <c r="ER365" s="486" t="s">
        <v>25</v>
      </c>
      <c r="ES365" s="486" t="s">
        <v>43</v>
      </c>
      <c r="ET365" s="486" t="s">
        <v>161</v>
      </c>
      <c r="EU365" s="105" t="s">
        <v>25</v>
      </c>
      <c r="EV365" s="105" t="s">
        <v>292</v>
      </c>
      <c r="EW365" s="105" t="s">
        <v>745</v>
      </c>
    </row>
    <row r="366" spans="1:153" s="38" customFormat="1" ht="20.100000000000001" customHeight="1" x14ac:dyDescent="0.25">
      <c r="B366" s="485"/>
      <c r="C366" s="486"/>
      <c r="D366" s="490"/>
      <c r="E366" s="486"/>
      <c r="F366" s="486"/>
      <c r="G366" s="486"/>
      <c r="H366" s="486"/>
      <c r="I366" s="486"/>
      <c r="J366" s="486"/>
      <c r="K366" s="486"/>
      <c r="L366" s="486"/>
      <c r="M366" s="486"/>
      <c r="N366" s="486"/>
      <c r="O366" s="486"/>
      <c r="P366" s="486"/>
      <c r="Q366" s="486"/>
      <c r="R366" s="486"/>
      <c r="S366" s="486"/>
      <c r="T366" s="486"/>
      <c r="U366" s="486"/>
      <c r="V366" s="486"/>
      <c r="W366" s="486"/>
      <c r="X366" s="486"/>
      <c r="Y366" s="486"/>
      <c r="Z366" s="486"/>
      <c r="AA366" s="486"/>
      <c r="AB366" s="486"/>
      <c r="AC366" s="486"/>
      <c r="AD366" s="486"/>
      <c r="AE366" s="486"/>
      <c r="AF366" s="486"/>
      <c r="AG366" s="486"/>
      <c r="AH366" s="486"/>
      <c r="AI366" s="486"/>
      <c r="AJ366" s="486"/>
      <c r="AK366" s="486"/>
      <c r="AL366" s="486"/>
      <c r="AM366" s="486"/>
      <c r="AN366" s="486"/>
      <c r="AO366" s="486"/>
      <c r="AP366" s="486"/>
      <c r="AQ366" s="486"/>
      <c r="AR366" s="486"/>
      <c r="AS366" s="486"/>
      <c r="AT366" s="486"/>
      <c r="AU366" s="486"/>
      <c r="AV366" s="486"/>
      <c r="AW366" s="486"/>
      <c r="AX366" s="486"/>
      <c r="AY366" s="486"/>
      <c r="AZ366" s="486"/>
      <c r="BA366" s="486"/>
      <c r="BB366" s="486"/>
      <c r="BC366" s="486"/>
      <c r="BD366" s="486"/>
      <c r="BE366" s="486"/>
      <c r="BF366" s="486"/>
      <c r="BG366" s="486"/>
      <c r="BH366" s="486"/>
      <c r="BI366" s="486"/>
      <c r="BJ366" s="486"/>
      <c r="BK366" s="486"/>
      <c r="BL366" s="486"/>
      <c r="BM366" s="486"/>
      <c r="BN366" s="486"/>
      <c r="BO366" s="486"/>
      <c r="BP366" s="486"/>
      <c r="BQ366" s="486"/>
      <c r="BR366" s="486"/>
      <c r="BS366" s="486"/>
      <c r="BT366" s="486"/>
      <c r="BU366" s="486"/>
      <c r="BV366" s="486"/>
      <c r="BW366" s="486"/>
      <c r="BX366" s="486"/>
      <c r="BY366" s="486"/>
      <c r="BZ366" s="486"/>
      <c r="CA366" s="486"/>
      <c r="CB366" s="486"/>
      <c r="CC366" s="486"/>
      <c r="CD366" s="486"/>
      <c r="CE366" s="486"/>
      <c r="CF366" s="486"/>
      <c r="CG366" s="486"/>
      <c r="CH366" s="486"/>
      <c r="CI366" s="486"/>
      <c r="CJ366" s="486"/>
      <c r="CK366" s="486"/>
      <c r="CL366" s="486"/>
      <c r="CM366" s="486"/>
      <c r="CN366" s="486"/>
      <c r="CO366" s="486"/>
      <c r="CP366" s="486"/>
      <c r="CQ366" s="486"/>
      <c r="CR366" s="486"/>
      <c r="CS366" s="486"/>
      <c r="CT366" s="486"/>
      <c r="CU366" s="486"/>
      <c r="CV366" s="486"/>
      <c r="CW366" s="486"/>
      <c r="CX366" s="486"/>
      <c r="CY366" s="486"/>
      <c r="CZ366" s="486"/>
      <c r="DA366" s="486"/>
      <c r="DB366" s="486"/>
      <c r="DC366" s="486"/>
      <c r="DD366" s="486"/>
      <c r="DE366" s="486"/>
      <c r="DF366" s="486"/>
      <c r="DG366" s="486"/>
      <c r="DH366" s="486"/>
      <c r="DI366" s="486"/>
      <c r="DJ366" s="486"/>
      <c r="DK366" s="486"/>
      <c r="DL366" s="486"/>
      <c r="DM366" s="486"/>
      <c r="DN366" s="486"/>
      <c r="DO366" s="486"/>
      <c r="DP366" s="486"/>
      <c r="DQ366" s="486"/>
      <c r="DR366" s="486"/>
      <c r="DS366" s="486"/>
      <c r="DT366" s="486"/>
      <c r="DU366" s="486"/>
      <c r="DV366" s="486"/>
      <c r="DW366" s="486"/>
      <c r="DX366" s="486"/>
      <c r="DY366" s="486"/>
      <c r="DZ366" s="486"/>
      <c r="EA366" s="486"/>
      <c r="EB366" s="486"/>
      <c r="EC366" s="486"/>
      <c r="ED366" s="486"/>
      <c r="EE366" s="486"/>
      <c r="EF366" s="486"/>
      <c r="EG366" s="486"/>
      <c r="EH366" s="486"/>
      <c r="EI366" s="486"/>
      <c r="EJ366" s="486"/>
      <c r="EK366" s="486"/>
      <c r="EL366" s="486"/>
      <c r="EM366" s="486"/>
      <c r="EN366" s="486"/>
      <c r="EO366" s="486"/>
      <c r="EP366" s="486"/>
      <c r="EQ366" s="486"/>
      <c r="ER366" s="486"/>
      <c r="ES366" s="486"/>
      <c r="ET366" s="486"/>
      <c r="EU366" s="105" t="s">
        <v>63</v>
      </c>
      <c r="EV366" s="105" t="s">
        <v>63</v>
      </c>
      <c r="EW366" s="105" t="s">
        <v>63</v>
      </c>
    </row>
    <row r="367" spans="1:153" s="38" customFormat="1" ht="15.95" customHeight="1" x14ac:dyDescent="0.25">
      <c r="B367" s="98">
        <v>1</v>
      </c>
      <c r="C367" s="125">
        <f>$E$46</f>
        <v>331.89250191718025</v>
      </c>
      <c r="D367" s="125">
        <f>C367/POWER(1+$E$32,B367)</f>
        <v>321.72596153274549</v>
      </c>
      <c r="E367" s="125">
        <f t="shared" ref="E367:E402" si="417">C367-D367</f>
        <v>10.166540384434768</v>
      </c>
      <c r="F367" s="140">
        <f t="shared" ref="F367:F402" si="418">E367/D367</f>
        <v>3.1600000000000031E-2</v>
      </c>
      <c r="G367" s="125">
        <v>0</v>
      </c>
      <c r="H367" s="125">
        <f>$E$32*$D367</f>
        <v>10.166540384434759</v>
      </c>
      <c r="I367" s="125">
        <v>0</v>
      </c>
      <c r="J367" s="125">
        <f t="shared" ref="J367:J402" si="419">H367+I367</f>
        <v>10.166540384434759</v>
      </c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  <c r="AA367" s="125"/>
      <c r="AB367" s="125"/>
      <c r="AC367" s="125"/>
      <c r="AD367" s="125"/>
      <c r="AE367" s="125"/>
      <c r="AF367" s="125"/>
      <c r="AG367" s="125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  <c r="AV367" s="125"/>
      <c r="AW367" s="125"/>
      <c r="AX367" s="125"/>
      <c r="AY367" s="125"/>
      <c r="AZ367" s="125"/>
      <c r="BA367" s="125"/>
      <c r="BB367" s="125"/>
      <c r="BC367" s="125"/>
      <c r="BD367" s="125"/>
      <c r="BE367" s="125"/>
      <c r="BF367" s="125"/>
      <c r="BG367" s="125"/>
      <c r="BH367" s="125"/>
      <c r="BI367" s="125"/>
      <c r="BJ367" s="125"/>
      <c r="BK367" s="125"/>
      <c r="BL367" s="125"/>
      <c r="BM367" s="125"/>
      <c r="BN367" s="125"/>
      <c r="BO367" s="125"/>
      <c r="BP367" s="125"/>
      <c r="BQ367" s="125"/>
      <c r="BR367" s="125"/>
      <c r="BS367" s="125"/>
      <c r="BT367" s="125"/>
      <c r="BU367" s="125"/>
      <c r="BV367" s="125"/>
      <c r="BW367" s="125"/>
      <c r="BX367" s="125"/>
      <c r="BY367" s="125"/>
      <c r="BZ367" s="125"/>
      <c r="CA367" s="125"/>
      <c r="CB367" s="125"/>
      <c r="CC367" s="125"/>
      <c r="CD367" s="125"/>
      <c r="CE367" s="125"/>
      <c r="CF367" s="125"/>
      <c r="CG367" s="125"/>
      <c r="CH367" s="125"/>
      <c r="CI367" s="125"/>
      <c r="CJ367" s="125"/>
      <c r="CK367" s="125"/>
      <c r="CL367" s="125"/>
      <c r="CM367" s="125"/>
      <c r="CN367" s="125"/>
      <c r="CO367" s="125"/>
      <c r="CP367" s="125"/>
      <c r="CQ367" s="125"/>
      <c r="CR367" s="125"/>
      <c r="CS367" s="125"/>
      <c r="CT367" s="125"/>
      <c r="CU367" s="125"/>
      <c r="CV367" s="125"/>
      <c r="CW367" s="125"/>
      <c r="CX367" s="125"/>
      <c r="CY367" s="125"/>
      <c r="CZ367" s="125"/>
      <c r="DA367" s="125"/>
      <c r="DB367" s="125"/>
      <c r="DC367" s="125"/>
      <c r="DD367" s="125"/>
      <c r="DE367" s="125"/>
      <c r="DF367" s="125"/>
      <c r="DG367" s="125"/>
      <c r="DH367" s="125"/>
      <c r="DI367" s="125"/>
      <c r="DJ367" s="125"/>
      <c r="DK367" s="125"/>
      <c r="DL367" s="125"/>
      <c r="DM367" s="125"/>
      <c r="DN367" s="125"/>
      <c r="DO367" s="125"/>
      <c r="DP367" s="125"/>
      <c r="DQ367" s="125"/>
      <c r="DR367" s="125"/>
      <c r="DS367" s="125"/>
      <c r="DT367" s="125"/>
      <c r="DU367" s="125"/>
      <c r="DV367" s="125"/>
      <c r="DW367" s="125"/>
      <c r="DX367" s="125"/>
      <c r="DY367" s="125"/>
      <c r="DZ367" s="125"/>
      <c r="EA367" s="125"/>
      <c r="EB367" s="125"/>
      <c r="EC367" s="125"/>
      <c r="ED367" s="125"/>
      <c r="EE367" s="125"/>
      <c r="EF367" s="125"/>
      <c r="EG367" s="125"/>
      <c r="EH367" s="125"/>
      <c r="EI367" s="125"/>
      <c r="EJ367" s="125"/>
      <c r="EK367" s="125"/>
      <c r="EL367" s="125"/>
      <c r="EM367" s="125"/>
      <c r="EN367" s="125"/>
      <c r="EO367" s="125"/>
      <c r="EP367" s="125"/>
      <c r="EQ367" s="125"/>
      <c r="ER367" s="125"/>
      <c r="ES367" s="125"/>
      <c r="ET367" s="125"/>
      <c r="EU367" s="125">
        <f>'O duodécuplo'!$F$97*$D367*$B367</f>
        <v>10.166540384434759</v>
      </c>
      <c r="EV367" s="125">
        <f t="shared" ref="EV367:EV402" si="420">EW367-EU367</f>
        <v>0</v>
      </c>
      <c r="EW367" s="125">
        <f t="shared" ref="EW367:EW402" si="421">$E367</f>
        <v>10.166540384434768</v>
      </c>
    </row>
    <row r="368" spans="1:153" s="38" customFormat="1" ht="15.95" customHeight="1" x14ac:dyDescent="0.25">
      <c r="B368" s="98">
        <f t="shared" ref="B368:B402" si="422">B367+1</f>
        <v>2</v>
      </c>
      <c r="C368" s="125">
        <f t="shared" ref="C368:C402" si="423">$E$46</f>
        <v>331.89250191718025</v>
      </c>
      <c r="D368" s="125">
        <f t="shared" ref="D368:D402" si="424">C368/POWER(1+$E$32,B368)</f>
        <v>311.87084289719411</v>
      </c>
      <c r="E368" s="125">
        <f t="shared" si="417"/>
        <v>20.021659019986146</v>
      </c>
      <c r="F368" s="140">
        <f t="shared" si="418"/>
        <v>6.4198560000000182E-2</v>
      </c>
      <c r="G368" s="125">
        <v>0</v>
      </c>
      <c r="H368" s="125">
        <f t="shared" ref="H368:H402" si="425">$E$32*$D368</f>
        <v>9.8551186355513352</v>
      </c>
      <c r="I368" s="125">
        <v>0</v>
      </c>
      <c r="J368" s="125">
        <f t="shared" si="419"/>
        <v>9.8551186355513352</v>
      </c>
      <c r="K368" s="125">
        <f t="shared" ref="K368:K402" si="426">G368+H368+I368</f>
        <v>9.8551186355513352</v>
      </c>
      <c r="L368" s="125">
        <f>$E$32*$D368</f>
        <v>9.8551186355513352</v>
      </c>
      <c r="M368" s="125">
        <f>$E$32*K368</f>
        <v>0.31142174888342222</v>
      </c>
      <c r="N368" s="125">
        <f t="shared" ref="N368:N402" si="427">L368+M368</f>
        <v>10.166540384434757</v>
      </c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  <c r="AA368" s="125"/>
      <c r="AB368" s="125"/>
      <c r="AC368" s="125"/>
      <c r="AD368" s="125"/>
      <c r="AE368" s="125"/>
      <c r="AF368" s="125"/>
      <c r="AG368" s="125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  <c r="AV368" s="125"/>
      <c r="AW368" s="125"/>
      <c r="AX368" s="125"/>
      <c r="AY368" s="125"/>
      <c r="AZ368" s="125"/>
      <c r="BA368" s="125"/>
      <c r="BB368" s="125"/>
      <c r="BC368" s="125"/>
      <c r="BD368" s="125"/>
      <c r="BE368" s="125"/>
      <c r="BF368" s="125"/>
      <c r="BG368" s="125"/>
      <c r="BH368" s="125"/>
      <c r="BI368" s="125"/>
      <c r="BJ368" s="125"/>
      <c r="BK368" s="125"/>
      <c r="BL368" s="125"/>
      <c r="BM368" s="125"/>
      <c r="BN368" s="125"/>
      <c r="BO368" s="125"/>
      <c r="BP368" s="125"/>
      <c r="BQ368" s="125"/>
      <c r="BR368" s="125"/>
      <c r="BS368" s="125"/>
      <c r="BT368" s="125"/>
      <c r="BU368" s="125"/>
      <c r="BV368" s="125"/>
      <c r="BW368" s="125"/>
      <c r="BX368" s="125"/>
      <c r="BY368" s="125"/>
      <c r="BZ368" s="125"/>
      <c r="CA368" s="125"/>
      <c r="CB368" s="125"/>
      <c r="CC368" s="125"/>
      <c r="CD368" s="125"/>
      <c r="CE368" s="125"/>
      <c r="CF368" s="125"/>
      <c r="CG368" s="125"/>
      <c r="CH368" s="125"/>
      <c r="CI368" s="125"/>
      <c r="CJ368" s="125"/>
      <c r="CK368" s="125"/>
      <c r="CL368" s="125"/>
      <c r="CM368" s="125"/>
      <c r="CN368" s="125"/>
      <c r="CO368" s="125"/>
      <c r="CP368" s="125"/>
      <c r="CQ368" s="125"/>
      <c r="CR368" s="125"/>
      <c r="CS368" s="125"/>
      <c r="CT368" s="125"/>
      <c r="CU368" s="125"/>
      <c r="CV368" s="125"/>
      <c r="CW368" s="125"/>
      <c r="CX368" s="125"/>
      <c r="CY368" s="125"/>
      <c r="CZ368" s="125"/>
      <c r="DA368" s="125"/>
      <c r="DB368" s="125"/>
      <c r="DC368" s="125"/>
      <c r="DD368" s="125"/>
      <c r="DE368" s="125"/>
      <c r="DF368" s="125"/>
      <c r="DG368" s="125"/>
      <c r="DH368" s="125"/>
      <c r="DI368" s="125"/>
      <c r="DJ368" s="125"/>
      <c r="DK368" s="125"/>
      <c r="DL368" s="125"/>
      <c r="DM368" s="125"/>
      <c r="DN368" s="125"/>
      <c r="DO368" s="125"/>
      <c r="DP368" s="125"/>
      <c r="DQ368" s="125"/>
      <c r="DR368" s="125"/>
      <c r="DS368" s="125"/>
      <c r="DT368" s="125"/>
      <c r="DU368" s="125"/>
      <c r="DV368" s="125"/>
      <c r="DW368" s="125"/>
      <c r="DX368" s="125"/>
      <c r="DY368" s="125"/>
      <c r="DZ368" s="125"/>
      <c r="EA368" s="125"/>
      <c r="EB368" s="125"/>
      <c r="EC368" s="125"/>
      <c r="ED368" s="125"/>
      <c r="EE368" s="125"/>
      <c r="EF368" s="125"/>
      <c r="EG368" s="125"/>
      <c r="EH368" s="125"/>
      <c r="EI368" s="125"/>
      <c r="EJ368" s="125"/>
      <c r="EK368" s="125"/>
      <c r="EL368" s="125"/>
      <c r="EM368" s="125"/>
      <c r="EN368" s="125"/>
      <c r="EO368" s="125"/>
      <c r="EP368" s="125"/>
      <c r="EQ368" s="125"/>
      <c r="ER368" s="125"/>
      <c r="ES368" s="125"/>
      <c r="ET368" s="125"/>
      <c r="EU368" s="125">
        <f>'O duodécuplo'!$F$97*$D368*$B368</f>
        <v>19.71023727110267</v>
      </c>
      <c r="EV368" s="125">
        <f t="shared" si="420"/>
        <v>0.3114217488834754</v>
      </c>
      <c r="EW368" s="125">
        <f t="shared" si="421"/>
        <v>20.021659019986146</v>
      </c>
    </row>
    <row r="369" spans="2:153" s="38" customFormat="1" ht="15.95" customHeight="1" x14ac:dyDescent="0.25">
      <c r="B369" s="98">
        <f t="shared" si="422"/>
        <v>3</v>
      </c>
      <c r="C369" s="125">
        <f t="shared" si="423"/>
        <v>331.89250191718025</v>
      </c>
      <c r="D369" s="125">
        <f t="shared" si="424"/>
        <v>302.31760653082017</v>
      </c>
      <c r="E369" s="125">
        <f t="shared" si="417"/>
        <v>29.574895386360083</v>
      </c>
      <c r="F369" s="140">
        <f t="shared" si="418"/>
        <v>9.7827234496000254E-2</v>
      </c>
      <c r="G369" s="125">
        <v>0</v>
      </c>
      <c r="H369" s="125">
        <f t="shared" si="425"/>
        <v>9.5532363663739179</v>
      </c>
      <c r="I369" s="125">
        <v>0</v>
      </c>
      <c r="J369" s="125">
        <f t="shared" si="419"/>
        <v>9.5532363663739179</v>
      </c>
      <c r="K369" s="125">
        <f t="shared" si="426"/>
        <v>9.5532363663739179</v>
      </c>
      <c r="L369" s="125">
        <f t="shared" ref="L369:L402" si="428">$E$32*$D369</f>
        <v>9.5532363663739179</v>
      </c>
      <c r="M369" s="125">
        <f t="shared" ref="M369:M402" si="429">$E$32*K369</f>
        <v>0.30188226917741584</v>
      </c>
      <c r="N369" s="125">
        <f t="shared" si="427"/>
        <v>9.8551186355513334</v>
      </c>
      <c r="O369" s="125">
        <f t="shared" ref="O369:O402" si="430">K369+L369+M369</f>
        <v>19.408355001925251</v>
      </c>
      <c r="P369" s="125">
        <f>$E$32*$D369</f>
        <v>9.5532363663739179</v>
      </c>
      <c r="Q369" s="125">
        <f>$E$32*O369</f>
        <v>0.61330401806083801</v>
      </c>
      <c r="R369" s="125">
        <f t="shared" ref="R369:R402" si="431">P369+Q369</f>
        <v>10.166540384434755</v>
      </c>
      <c r="S369" s="125"/>
      <c r="T369" s="125"/>
      <c r="U369" s="125"/>
      <c r="V369" s="125"/>
      <c r="W369" s="125"/>
      <c r="X369" s="125"/>
      <c r="Y369" s="125"/>
      <c r="Z369" s="125"/>
      <c r="AA369" s="125"/>
      <c r="AB369" s="125"/>
      <c r="AC369" s="125"/>
      <c r="AD369" s="125"/>
      <c r="AE369" s="125"/>
      <c r="AF369" s="125"/>
      <c r="AG369" s="125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  <c r="AV369" s="125"/>
      <c r="AW369" s="125"/>
      <c r="AX369" s="125"/>
      <c r="AY369" s="125"/>
      <c r="AZ369" s="125"/>
      <c r="BA369" s="125"/>
      <c r="BB369" s="125"/>
      <c r="BC369" s="125"/>
      <c r="BD369" s="125"/>
      <c r="BE369" s="125"/>
      <c r="BF369" s="125"/>
      <c r="BG369" s="125"/>
      <c r="BH369" s="125"/>
      <c r="BI369" s="125"/>
      <c r="BJ369" s="125"/>
      <c r="BK369" s="125"/>
      <c r="BL369" s="125"/>
      <c r="BM369" s="125"/>
      <c r="BN369" s="125"/>
      <c r="BO369" s="125"/>
      <c r="BP369" s="125"/>
      <c r="BQ369" s="125"/>
      <c r="BR369" s="125"/>
      <c r="BS369" s="125"/>
      <c r="BT369" s="125"/>
      <c r="BU369" s="125"/>
      <c r="BV369" s="125"/>
      <c r="BW369" s="125"/>
      <c r="BX369" s="125"/>
      <c r="BY369" s="125"/>
      <c r="BZ369" s="125"/>
      <c r="CA369" s="125"/>
      <c r="CB369" s="125"/>
      <c r="CC369" s="125"/>
      <c r="CD369" s="125"/>
      <c r="CE369" s="125"/>
      <c r="CF369" s="125"/>
      <c r="CG369" s="125"/>
      <c r="CH369" s="125"/>
      <c r="CI369" s="125"/>
      <c r="CJ369" s="125"/>
      <c r="CK369" s="125"/>
      <c r="CL369" s="125"/>
      <c r="CM369" s="125"/>
      <c r="CN369" s="125"/>
      <c r="CO369" s="125"/>
      <c r="CP369" s="125"/>
      <c r="CQ369" s="125"/>
      <c r="CR369" s="125"/>
      <c r="CS369" s="125"/>
      <c r="CT369" s="125"/>
      <c r="CU369" s="125"/>
      <c r="CV369" s="125"/>
      <c r="CW369" s="125"/>
      <c r="CX369" s="125"/>
      <c r="CY369" s="125"/>
      <c r="CZ369" s="125"/>
      <c r="DA369" s="125"/>
      <c r="DB369" s="125"/>
      <c r="DC369" s="125"/>
      <c r="DD369" s="125"/>
      <c r="DE369" s="125"/>
      <c r="DF369" s="125"/>
      <c r="DG369" s="125"/>
      <c r="DH369" s="125"/>
      <c r="DI369" s="125"/>
      <c r="DJ369" s="125"/>
      <c r="DK369" s="125"/>
      <c r="DL369" s="125"/>
      <c r="DM369" s="125"/>
      <c r="DN369" s="125"/>
      <c r="DO369" s="125"/>
      <c r="DP369" s="125"/>
      <c r="DQ369" s="125"/>
      <c r="DR369" s="125"/>
      <c r="DS369" s="125"/>
      <c r="DT369" s="125"/>
      <c r="DU369" s="125"/>
      <c r="DV369" s="125"/>
      <c r="DW369" s="125"/>
      <c r="DX369" s="125"/>
      <c r="DY369" s="125"/>
      <c r="DZ369" s="125"/>
      <c r="EA369" s="125"/>
      <c r="EB369" s="125"/>
      <c r="EC369" s="125"/>
      <c r="ED369" s="125"/>
      <c r="EE369" s="125"/>
      <c r="EF369" s="125"/>
      <c r="EG369" s="125"/>
      <c r="EH369" s="125"/>
      <c r="EI369" s="125"/>
      <c r="EJ369" s="125"/>
      <c r="EK369" s="125"/>
      <c r="EL369" s="125"/>
      <c r="EM369" s="125"/>
      <c r="EN369" s="125"/>
      <c r="EO369" s="125"/>
      <c r="EP369" s="125"/>
      <c r="EQ369" s="125"/>
      <c r="ER369" s="125"/>
      <c r="ES369" s="125"/>
      <c r="ET369" s="125"/>
      <c r="EU369" s="125">
        <f>'O duodécuplo'!$F$97*$D369*$B369</f>
        <v>28.659709099121756</v>
      </c>
      <c r="EV369" s="125">
        <f t="shared" si="420"/>
        <v>0.91518628723832762</v>
      </c>
      <c r="EW369" s="125">
        <f t="shared" si="421"/>
        <v>29.574895386360083</v>
      </c>
    </row>
    <row r="370" spans="2:153" s="38" customFormat="1" ht="15.95" customHeight="1" x14ac:dyDescent="0.25">
      <c r="B370" s="98">
        <f t="shared" si="422"/>
        <v>4</v>
      </c>
      <c r="C370" s="125">
        <f t="shared" si="423"/>
        <v>331.89250191718025</v>
      </c>
      <c r="D370" s="125">
        <f t="shared" si="424"/>
        <v>293.05700516752637</v>
      </c>
      <c r="E370" s="125">
        <f t="shared" si="417"/>
        <v>38.835496749653885</v>
      </c>
      <c r="F370" s="140">
        <f t="shared" si="418"/>
        <v>0.13251857510607373</v>
      </c>
      <c r="G370" s="125">
        <v>0</v>
      </c>
      <c r="H370" s="125">
        <f t="shared" si="425"/>
        <v>9.2606013632938335</v>
      </c>
      <c r="I370" s="125">
        <v>0</v>
      </c>
      <c r="J370" s="125">
        <f t="shared" si="419"/>
        <v>9.2606013632938335</v>
      </c>
      <c r="K370" s="125">
        <f t="shared" si="426"/>
        <v>9.2606013632938335</v>
      </c>
      <c r="L370" s="125">
        <f t="shared" si="428"/>
        <v>9.2606013632938335</v>
      </c>
      <c r="M370" s="125">
        <f t="shared" si="429"/>
        <v>0.29263500308008517</v>
      </c>
      <c r="N370" s="125">
        <f t="shared" si="427"/>
        <v>9.5532363663739179</v>
      </c>
      <c r="O370" s="125">
        <f t="shared" si="430"/>
        <v>18.813837729667753</v>
      </c>
      <c r="P370" s="125">
        <f t="shared" ref="P370:P402" si="432">$E$32*$D370</f>
        <v>9.2606013632938335</v>
      </c>
      <c r="Q370" s="125">
        <f t="shared" ref="Q370:Q402" si="433">$E$32*O370</f>
        <v>0.59451727225750106</v>
      </c>
      <c r="R370" s="125">
        <f t="shared" si="431"/>
        <v>9.8551186355513352</v>
      </c>
      <c r="S370" s="125">
        <f t="shared" ref="S370:S402" si="434">O370+P370+Q370</f>
        <v>28.668956365219088</v>
      </c>
      <c r="T370" s="125">
        <f>$E$32*$D370</f>
        <v>9.2606013632938335</v>
      </c>
      <c r="U370" s="125">
        <f>$E$32*S370</f>
        <v>0.90593902114092328</v>
      </c>
      <c r="V370" s="125">
        <f t="shared" ref="V370:V402" si="435">T370+U370</f>
        <v>10.166540384434757</v>
      </c>
      <c r="W370" s="125"/>
      <c r="X370" s="125"/>
      <c r="Y370" s="125"/>
      <c r="Z370" s="125"/>
      <c r="AA370" s="125"/>
      <c r="AB370" s="125"/>
      <c r="AC370" s="125"/>
      <c r="AD370" s="125"/>
      <c r="AE370" s="125"/>
      <c r="AF370" s="125"/>
      <c r="AG370" s="125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  <c r="AV370" s="125"/>
      <c r="AW370" s="125"/>
      <c r="AX370" s="125"/>
      <c r="AY370" s="125"/>
      <c r="AZ370" s="125"/>
      <c r="BA370" s="125"/>
      <c r="BB370" s="125"/>
      <c r="BC370" s="125"/>
      <c r="BD370" s="125"/>
      <c r="BE370" s="125"/>
      <c r="BF370" s="125"/>
      <c r="BG370" s="125"/>
      <c r="BH370" s="125"/>
      <c r="BI370" s="125"/>
      <c r="BJ370" s="125"/>
      <c r="BK370" s="125"/>
      <c r="BL370" s="125"/>
      <c r="BM370" s="125"/>
      <c r="BN370" s="125"/>
      <c r="BO370" s="125"/>
      <c r="BP370" s="125"/>
      <c r="BQ370" s="125"/>
      <c r="BR370" s="125"/>
      <c r="BS370" s="125"/>
      <c r="BT370" s="125"/>
      <c r="BU370" s="125"/>
      <c r="BV370" s="125"/>
      <c r="BW370" s="125"/>
      <c r="BX370" s="125"/>
      <c r="BY370" s="125"/>
      <c r="BZ370" s="125"/>
      <c r="CA370" s="125"/>
      <c r="CB370" s="125"/>
      <c r="CC370" s="125"/>
      <c r="CD370" s="125"/>
      <c r="CE370" s="125"/>
      <c r="CF370" s="125"/>
      <c r="CG370" s="125"/>
      <c r="CH370" s="125"/>
      <c r="CI370" s="125"/>
      <c r="CJ370" s="125"/>
      <c r="CK370" s="125"/>
      <c r="CL370" s="125"/>
      <c r="CM370" s="125"/>
      <c r="CN370" s="125"/>
      <c r="CO370" s="125"/>
      <c r="CP370" s="125"/>
      <c r="CQ370" s="125"/>
      <c r="CR370" s="125"/>
      <c r="CS370" s="125"/>
      <c r="CT370" s="125"/>
      <c r="CU370" s="125"/>
      <c r="CV370" s="125"/>
      <c r="CW370" s="125"/>
      <c r="CX370" s="125"/>
      <c r="CY370" s="125"/>
      <c r="CZ370" s="125"/>
      <c r="DA370" s="125"/>
      <c r="DB370" s="125"/>
      <c r="DC370" s="125"/>
      <c r="DD370" s="125"/>
      <c r="DE370" s="125"/>
      <c r="DF370" s="125"/>
      <c r="DG370" s="125"/>
      <c r="DH370" s="125"/>
      <c r="DI370" s="125"/>
      <c r="DJ370" s="125"/>
      <c r="DK370" s="125"/>
      <c r="DL370" s="125"/>
      <c r="DM370" s="125"/>
      <c r="DN370" s="125"/>
      <c r="DO370" s="125"/>
      <c r="DP370" s="125"/>
      <c r="DQ370" s="125"/>
      <c r="DR370" s="125"/>
      <c r="DS370" s="125"/>
      <c r="DT370" s="125"/>
      <c r="DU370" s="125"/>
      <c r="DV370" s="125"/>
      <c r="DW370" s="125"/>
      <c r="DX370" s="125"/>
      <c r="DY370" s="125"/>
      <c r="DZ370" s="125"/>
      <c r="EA370" s="125"/>
      <c r="EB370" s="125"/>
      <c r="EC370" s="125"/>
      <c r="ED370" s="125"/>
      <c r="EE370" s="125"/>
      <c r="EF370" s="125"/>
      <c r="EG370" s="125"/>
      <c r="EH370" s="125"/>
      <c r="EI370" s="125"/>
      <c r="EJ370" s="125"/>
      <c r="EK370" s="125"/>
      <c r="EL370" s="125"/>
      <c r="EM370" s="125"/>
      <c r="EN370" s="125"/>
      <c r="EO370" s="125"/>
      <c r="EP370" s="125"/>
      <c r="EQ370" s="125"/>
      <c r="ER370" s="125"/>
      <c r="ES370" s="125"/>
      <c r="ET370" s="125"/>
      <c r="EU370" s="125">
        <f>'O duodécuplo'!$F$97*$D370*$B370</f>
        <v>37.042405453175334</v>
      </c>
      <c r="EV370" s="125">
        <f t="shared" si="420"/>
        <v>1.7930912964785506</v>
      </c>
      <c r="EW370" s="125">
        <f t="shared" si="421"/>
        <v>38.835496749653885</v>
      </c>
    </row>
    <row r="371" spans="2:153" s="38" customFormat="1" ht="15.95" customHeight="1" x14ac:dyDescent="0.25">
      <c r="B371" s="98">
        <f t="shared" si="422"/>
        <v>5</v>
      </c>
      <c r="C371" s="125">
        <f t="shared" si="423"/>
        <v>331.89250191718025</v>
      </c>
      <c r="D371" s="125">
        <f t="shared" si="424"/>
        <v>284.08007480372851</v>
      </c>
      <c r="E371" s="125">
        <f t="shared" si="417"/>
        <v>47.812427113451747</v>
      </c>
      <c r="F371" s="140">
        <f t="shared" si="418"/>
        <v>0.16830616207942584</v>
      </c>
      <c r="G371" s="125">
        <v>0</v>
      </c>
      <c r="H371" s="125">
        <f t="shared" si="425"/>
        <v>8.9769303637978215</v>
      </c>
      <c r="I371" s="125">
        <v>0</v>
      </c>
      <c r="J371" s="125">
        <f t="shared" si="419"/>
        <v>8.9769303637978215</v>
      </c>
      <c r="K371" s="125">
        <f t="shared" si="426"/>
        <v>8.9769303637978215</v>
      </c>
      <c r="L371" s="125">
        <f t="shared" si="428"/>
        <v>8.9769303637978215</v>
      </c>
      <c r="M371" s="125">
        <f t="shared" si="429"/>
        <v>0.28367099949601121</v>
      </c>
      <c r="N371" s="125">
        <f t="shared" si="427"/>
        <v>9.2606013632938335</v>
      </c>
      <c r="O371" s="125">
        <f t="shared" si="430"/>
        <v>18.237531727091653</v>
      </c>
      <c r="P371" s="125">
        <f t="shared" si="432"/>
        <v>8.9769303637978215</v>
      </c>
      <c r="Q371" s="125">
        <f t="shared" si="433"/>
        <v>0.57630600257609632</v>
      </c>
      <c r="R371" s="125">
        <f t="shared" si="431"/>
        <v>9.5532363663739179</v>
      </c>
      <c r="S371" s="125">
        <f t="shared" si="434"/>
        <v>27.790768093465573</v>
      </c>
      <c r="T371" s="125">
        <f t="shared" ref="T371:T402" si="436">$E$32*$D371</f>
        <v>8.9769303637978215</v>
      </c>
      <c r="U371" s="125">
        <f t="shared" ref="U371:U402" si="437">$E$32*S371</f>
        <v>0.87818827175351222</v>
      </c>
      <c r="V371" s="125">
        <f t="shared" si="435"/>
        <v>9.8551186355513334</v>
      </c>
      <c r="W371" s="125">
        <f t="shared" ref="W371:W402" si="438">S371+T371+U371</f>
        <v>37.645886729016908</v>
      </c>
      <c r="X371" s="125">
        <f>$E$32*$D371</f>
        <v>8.9769303637978215</v>
      </c>
      <c r="Y371" s="125">
        <f>$E$32*W371</f>
        <v>1.1896100206369344</v>
      </c>
      <c r="Z371" s="125">
        <f t="shared" ref="Z371:Z402" si="439">X371+Y371</f>
        <v>10.166540384434755</v>
      </c>
      <c r="AA371" s="125"/>
      <c r="AB371" s="125"/>
      <c r="AC371" s="125"/>
      <c r="AD371" s="125"/>
      <c r="AE371" s="125"/>
      <c r="AF371" s="125"/>
      <c r="AG371" s="125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  <c r="AV371" s="125"/>
      <c r="AW371" s="125"/>
      <c r="AX371" s="125"/>
      <c r="AY371" s="125"/>
      <c r="AZ371" s="125"/>
      <c r="BA371" s="125"/>
      <c r="BB371" s="125"/>
      <c r="BC371" s="125"/>
      <c r="BD371" s="125"/>
      <c r="BE371" s="125"/>
      <c r="BF371" s="125"/>
      <c r="BG371" s="125"/>
      <c r="BH371" s="125"/>
      <c r="BI371" s="125"/>
      <c r="BJ371" s="125"/>
      <c r="BK371" s="125"/>
      <c r="BL371" s="125"/>
      <c r="BM371" s="125"/>
      <c r="BN371" s="125"/>
      <c r="BO371" s="125"/>
      <c r="BP371" s="125"/>
      <c r="BQ371" s="125"/>
      <c r="BR371" s="125"/>
      <c r="BS371" s="125"/>
      <c r="BT371" s="125"/>
      <c r="BU371" s="125"/>
      <c r="BV371" s="125"/>
      <c r="BW371" s="125"/>
      <c r="BX371" s="125"/>
      <c r="BY371" s="125"/>
      <c r="BZ371" s="125"/>
      <c r="CA371" s="125"/>
      <c r="CB371" s="125"/>
      <c r="CC371" s="125"/>
      <c r="CD371" s="125"/>
      <c r="CE371" s="125"/>
      <c r="CF371" s="125"/>
      <c r="CG371" s="125"/>
      <c r="CH371" s="125"/>
      <c r="CI371" s="125"/>
      <c r="CJ371" s="125"/>
      <c r="CK371" s="125"/>
      <c r="CL371" s="125"/>
      <c r="CM371" s="125"/>
      <c r="CN371" s="125"/>
      <c r="CO371" s="125"/>
      <c r="CP371" s="125"/>
      <c r="CQ371" s="125"/>
      <c r="CR371" s="125"/>
      <c r="CS371" s="125"/>
      <c r="CT371" s="125"/>
      <c r="CU371" s="125"/>
      <c r="CV371" s="125"/>
      <c r="CW371" s="125"/>
      <c r="CX371" s="125"/>
      <c r="CY371" s="125"/>
      <c r="CZ371" s="125"/>
      <c r="DA371" s="125"/>
      <c r="DB371" s="125"/>
      <c r="DC371" s="125"/>
      <c r="DD371" s="125"/>
      <c r="DE371" s="125"/>
      <c r="DF371" s="125"/>
      <c r="DG371" s="125"/>
      <c r="DH371" s="125"/>
      <c r="DI371" s="125"/>
      <c r="DJ371" s="125"/>
      <c r="DK371" s="125"/>
      <c r="DL371" s="125"/>
      <c r="DM371" s="125"/>
      <c r="DN371" s="125"/>
      <c r="DO371" s="125"/>
      <c r="DP371" s="125"/>
      <c r="DQ371" s="125"/>
      <c r="DR371" s="125"/>
      <c r="DS371" s="125"/>
      <c r="DT371" s="125"/>
      <c r="DU371" s="125"/>
      <c r="DV371" s="125"/>
      <c r="DW371" s="125"/>
      <c r="DX371" s="125"/>
      <c r="DY371" s="125"/>
      <c r="DZ371" s="125"/>
      <c r="EA371" s="125"/>
      <c r="EB371" s="125"/>
      <c r="EC371" s="125"/>
      <c r="ED371" s="125"/>
      <c r="EE371" s="125"/>
      <c r="EF371" s="125"/>
      <c r="EG371" s="125"/>
      <c r="EH371" s="125"/>
      <c r="EI371" s="125"/>
      <c r="EJ371" s="125"/>
      <c r="EK371" s="125"/>
      <c r="EL371" s="125"/>
      <c r="EM371" s="125"/>
      <c r="EN371" s="125"/>
      <c r="EO371" s="125"/>
      <c r="EP371" s="125"/>
      <c r="EQ371" s="125"/>
      <c r="ER371" s="125"/>
      <c r="ES371" s="125"/>
      <c r="ET371" s="125"/>
      <c r="EU371" s="125">
        <f>'O duodécuplo'!$F$97*$D371*$B371</f>
        <v>44.884651818989106</v>
      </c>
      <c r="EV371" s="125">
        <f t="shared" si="420"/>
        <v>2.9277752944626414</v>
      </c>
      <c r="EW371" s="125">
        <f t="shared" si="421"/>
        <v>47.812427113451747</v>
      </c>
    </row>
    <row r="372" spans="2:153" s="38" customFormat="1" ht="15.95" customHeight="1" x14ac:dyDescent="0.25">
      <c r="B372" s="98">
        <f t="shared" si="422"/>
        <v>6</v>
      </c>
      <c r="C372" s="125">
        <f t="shared" si="423"/>
        <v>331.89250191718025</v>
      </c>
      <c r="D372" s="125">
        <f t="shared" si="424"/>
        <v>275.37812602145067</v>
      </c>
      <c r="E372" s="125">
        <f t="shared" si="417"/>
        <v>56.514375895729586</v>
      </c>
      <c r="F372" s="140">
        <f t="shared" si="418"/>
        <v>0.20522463680113567</v>
      </c>
      <c r="G372" s="125">
        <v>0</v>
      </c>
      <c r="H372" s="125">
        <f t="shared" si="425"/>
        <v>8.7019487822778423</v>
      </c>
      <c r="I372" s="125">
        <v>0</v>
      </c>
      <c r="J372" s="125">
        <f t="shared" si="419"/>
        <v>8.7019487822778423</v>
      </c>
      <c r="K372" s="125">
        <f t="shared" si="426"/>
        <v>8.7019487822778423</v>
      </c>
      <c r="L372" s="125">
        <f t="shared" si="428"/>
        <v>8.7019487822778423</v>
      </c>
      <c r="M372" s="125">
        <f t="shared" si="429"/>
        <v>0.27498158151997987</v>
      </c>
      <c r="N372" s="125">
        <f t="shared" si="427"/>
        <v>8.9769303637978215</v>
      </c>
      <c r="O372" s="125">
        <f t="shared" si="430"/>
        <v>17.678879146075666</v>
      </c>
      <c r="P372" s="125">
        <f t="shared" si="432"/>
        <v>8.7019487822778423</v>
      </c>
      <c r="Q372" s="125">
        <f t="shared" si="433"/>
        <v>0.55865258101599113</v>
      </c>
      <c r="R372" s="125">
        <f t="shared" si="431"/>
        <v>9.2606013632938335</v>
      </c>
      <c r="S372" s="125">
        <f t="shared" si="434"/>
        <v>26.939480509369499</v>
      </c>
      <c r="T372" s="125">
        <f t="shared" si="436"/>
        <v>8.7019487822778423</v>
      </c>
      <c r="U372" s="125">
        <f t="shared" si="437"/>
        <v>0.8512875840960763</v>
      </c>
      <c r="V372" s="125">
        <f t="shared" si="435"/>
        <v>9.5532363663739179</v>
      </c>
      <c r="W372" s="125">
        <f t="shared" si="438"/>
        <v>36.492716875743419</v>
      </c>
      <c r="X372" s="125">
        <f t="shared" ref="X372:X402" si="440">$E$32*$D372</f>
        <v>8.7019487822778423</v>
      </c>
      <c r="Y372" s="125">
        <f t="shared" ref="Y372:Y402" si="441">$E$32*W372</f>
        <v>1.1531698532734922</v>
      </c>
      <c r="Z372" s="125">
        <f t="shared" si="439"/>
        <v>9.8551186355513352</v>
      </c>
      <c r="AA372" s="125">
        <f t="shared" ref="AA372:AA402" si="442">W372+X372+Y372</f>
        <v>46.347835511294754</v>
      </c>
      <c r="AB372" s="125">
        <f>$E$32*$D372</f>
        <v>8.7019487822778423</v>
      </c>
      <c r="AC372" s="125">
        <f>$E$32*AA372</f>
        <v>1.4645916021569143</v>
      </c>
      <c r="AD372" s="125">
        <f t="shared" ref="AD372:AD402" si="443">AB372+AC372</f>
        <v>10.166540384434757</v>
      </c>
      <c r="AE372" s="125"/>
      <c r="AF372" s="125"/>
      <c r="AG372" s="125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  <c r="AV372" s="125"/>
      <c r="AW372" s="125"/>
      <c r="AX372" s="125"/>
      <c r="AY372" s="125"/>
      <c r="AZ372" s="125"/>
      <c r="BA372" s="125"/>
      <c r="BB372" s="125"/>
      <c r="BC372" s="125"/>
      <c r="BD372" s="125"/>
      <c r="BE372" s="125"/>
      <c r="BF372" s="125"/>
      <c r="BG372" s="125"/>
      <c r="BH372" s="125"/>
      <c r="BI372" s="125"/>
      <c r="BJ372" s="125"/>
      <c r="BK372" s="125"/>
      <c r="BL372" s="125"/>
      <c r="BM372" s="125"/>
      <c r="BN372" s="125"/>
      <c r="BO372" s="125"/>
      <c r="BP372" s="125"/>
      <c r="BQ372" s="125"/>
      <c r="BR372" s="125"/>
      <c r="BS372" s="125"/>
      <c r="BT372" s="125"/>
      <c r="BU372" s="125"/>
      <c r="BV372" s="125"/>
      <c r="BW372" s="125"/>
      <c r="BX372" s="125"/>
      <c r="BY372" s="125"/>
      <c r="BZ372" s="125"/>
      <c r="CA372" s="125"/>
      <c r="CB372" s="125"/>
      <c r="CC372" s="125"/>
      <c r="CD372" s="125"/>
      <c r="CE372" s="125"/>
      <c r="CF372" s="125"/>
      <c r="CG372" s="125"/>
      <c r="CH372" s="125"/>
      <c r="CI372" s="125"/>
      <c r="CJ372" s="125"/>
      <c r="CK372" s="125"/>
      <c r="CL372" s="125"/>
      <c r="CM372" s="125"/>
      <c r="CN372" s="125"/>
      <c r="CO372" s="125"/>
      <c r="CP372" s="125"/>
      <c r="CQ372" s="125"/>
      <c r="CR372" s="125"/>
      <c r="CS372" s="125"/>
      <c r="CT372" s="125"/>
      <c r="CU372" s="125"/>
      <c r="CV372" s="125"/>
      <c r="CW372" s="125"/>
      <c r="CX372" s="125"/>
      <c r="CY372" s="125"/>
      <c r="CZ372" s="125"/>
      <c r="DA372" s="125"/>
      <c r="DB372" s="125"/>
      <c r="DC372" s="125"/>
      <c r="DD372" s="125"/>
      <c r="DE372" s="125"/>
      <c r="DF372" s="125"/>
      <c r="DG372" s="125"/>
      <c r="DH372" s="125"/>
      <c r="DI372" s="125"/>
      <c r="DJ372" s="125"/>
      <c r="DK372" s="125"/>
      <c r="DL372" s="125"/>
      <c r="DM372" s="125"/>
      <c r="DN372" s="125"/>
      <c r="DO372" s="125"/>
      <c r="DP372" s="125"/>
      <c r="DQ372" s="125"/>
      <c r="DR372" s="125"/>
      <c r="DS372" s="125"/>
      <c r="DT372" s="125"/>
      <c r="DU372" s="125"/>
      <c r="DV372" s="125"/>
      <c r="DW372" s="125"/>
      <c r="DX372" s="125"/>
      <c r="DY372" s="125"/>
      <c r="DZ372" s="125"/>
      <c r="EA372" s="125"/>
      <c r="EB372" s="125"/>
      <c r="EC372" s="125"/>
      <c r="ED372" s="125"/>
      <c r="EE372" s="125"/>
      <c r="EF372" s="125"/>
      <c r="EG372" s="125"/>
      <c r="EH372" s="125"/>
      <c r="EI372" s="125"/>
      <c r="EJ372" s="125"/>
      <c r="EK372" s="125"/>
      <c r="EL372" s="125"/>
      <c r="EM372" s="125"/>
      <c r="EN372" s="125"/>
      <c r="EO372" s="125"/>
      <c r="EP372" s="125"/>
      <c r="EQ372" s="125"/>
      <c r="ER372" s="125"/>
      <c r="ES372" s="125"/>
      <c r="ET372" s="125"/>
      <c r="EU372" s="125">
        <f>'O duodécuplo'!$F$97*$D372*$B372</f>
        <v>52.211692693667054</v>
      </c>
      <c r="EV372" s="125">
        <f t="shared" si="420"/>
        <v>4.3026832020625321</v>
      </c>
      <c r="EW372" s="125">
        <f t="shared" si="421"/>
        <v>56.514375895729586</v>
      </c>
    </row>
    <row r="373" spans="2:153" s="38" customFormat="1" ht="15.95" customHeight="1" x14ac:dyDescent="0.25">
      <c r="B373" s="98">
        <f t="shared" si="422"/>
        <v>7</v>
      </c>
      <c r="C373" s="125">
        <f t="shared" si="423"/>
        <v>331.89250191718025</v>
      </c>
      <c r="D373" s="125">
        <f t="shared" si="424"/>
        <v>266.94273557721073</v>
      </c>
      <c r="E373" s="125">
        <f t="shared" si="417"/>
        <v>64.949766339969528</v>
      </c>
      <c r="F373" s="140">
        <f t="shared" si="418"/>
        <v>0.24330973532405195</v>
      </c>
      <c r="G373" s="125">
        <v>0</v>
      </c>
      <c r="H373" s="125">
        <f t="shared" si="425"/>
        <v>8.4353904442398591</v>
      </c>
      <c r="I373" s="125">
        <v>0</v>
      </c>
      <c r="J373" s="125">
        <f t="shared" si="419"/>
        <v>8.4353904442398591</v>
      </c>
      <c r="K373" s="125">
        <f t="shared" si="426"/>
        <v>8.4353904442398591</v>
      </c>
      <c r="L373" s="125">
        <f t="shared" si="428"/>
        <v>8.4353904442398591</v>
      </c>
      <c r="M373" s="125">
        <f t="shared" si="429"/>
        <v>0.26655833803797957</v>
      </c>
      <c r="N373" s="125">
        <f t="shared" si="427"/>
        <v>8.7019487822778387</v>
      </c>
      <c r="O373" s="125">
        <f t="shared" si="430"/>
        <v>17.137339226517696</v>
      </c>
      <c r="P373" s="125">
        <f t="shared" si="432"/>
        <v>8.4353904442398591</v>
      </c>
      <c r="Q373" s="125">
        <f t="shared" si="433"/>
        <v>0.54153991955795922</v>
      </c>
      <c r="R373" s="125">
        <f t="shared" si="431"/>
        <v>8.9769303637978179</v>
      </c>
      <c r="S373" s="125">
        <f t="shared" si="434"/>
        <v>26.114269590315512</v>
      </c>
      <c r="T373" s="125">
        <f t="shared" si="436"/>
        <v>8.4353904442398591</v>
      </c>
      <c r="U373" s="125">
        <f t="shared" si="437"/>
        <v>0.82521091905397026</v>
      </c>
      <c r="V373" s="125">
        <f t="shared" si="435"/>
        <v>9.26060136329383</v>
      </c>
      <c r="W373" s="125">
        <f t="shared" si="438"/>
        <v>35.374870953609346</v>
      </c>
      <c r="X373" s="125">
        <f t="shared" si="440"/>
        <v>8.4353904442398591</v>
      </c>
      <c r="Y373" s="125">
        <f t="shared" si="441"/>
        <v>1.1178459221340555</v>
      </c>
      <c r="Z373" s="125">
        <f t="shared" si="439"/>
        <v>9.5532363663739144</v>
      </c>
      <c r="AA373" s="125">
        <f t="shared" si="442"/>
        <v>44.928107319983262</v>
      </c>
      <c r="AB373" s="125">
        <f t="shared" ref="AB373:AB402" si="444">$E$32*$D373</f>
        <v>8.4353904442398591</v>
      </c>
      <c r="AC373" s="125">
        <f t="shared" ref="AC373:AC402" si="445">$E$32*AA373</f>
        <v>1.4197281913114712</v>
      </c>
      <c r="AD373" s="125">
        <f t="shared" si="443"/>
        <v>9.8551186355513298</v>
      </c>
      <c r="AE373" s="125">
        <f t="shared" ref="AE373:AE402" si="446">AA373+AB373+AC373</f>
        <v>54.78322595553459</v>
      </c>
      <c r="AF373" s="125">
        <f>$E$32*$D373</f>
        <v>8.4353904442398591</v>
      </c>
      <c r="AG373" s="125">
        <f>$E$32*AE373</f>
        <v>1.7311499401948933</v>
      </c>
      <c r="AH373" s="125">
        <f t="shared" ref="AH373:AH402" si="447">AF373+AG373</f>
        <v>10.166540384434752</v>
      </c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  <c r="AV373" s="125"/>
      <c r="AW373" s="125"/>
      <c r="AX373" s="125"/>
      <c r="AY373" s="125"/>
      <c r="AZ373" s="125"/>
      <c r="BA373" s="125"/>
      <c r="BB373" s="125"/>
      <c r="BC373" s="125"/>
      <c r="BD373" s="125"/>
      <c r="BE373" s="125"/>
      <c r="BF373" s="125"/>
      <c r="BG373" s="125"/>
      <c r="BH373" s="125"/>
      <c r="BI373" s="125"/>
      <c r="BJ373" s="125"/>
      <c r="BK373" s="125"/>
      <c r="BL373" s="125"/>
      <c r="BM373" s="125"/>
      <c r="BN373" s="125"/>
      <c r="BO373" s="125"/>
      <c r="BP373" s="125"/>
      <c r="BQ373" s="125"/>
      <c r="BR373" s="125"/>
      <c r="BS373" s="125"/>
      <c r="BT373" s="125"/>
      <c r="BU373" s="125"/>
      <c r="BV373" s="125"/>
      <c r="BW373" s="125"/>
      <c r="BX373" s="125"/>
      <c r="BY373" s="125"/>
      <c r="BZ373" s="125"/>
      <c r="CA373" s="125"/>
      <c r="CB373" s="125"/>
      <c r="CC373" s="125"/>
      <c r="CD373" s="125"/>
      <c r="CE373" s="125"/>
      <c r="CF373" s="125"/>
      <c r="CG373" s="125"/>
      <c r="CH373" s="125"/>
      <c r="CI373" s="125"/>
      <c r="CJ373" s="125"/>
      <c r="CK373" s="125"/>
      <c r="CL373" s="125"/>
      <c r="CM373" s="125"/>
      <c r="CN373" s="125"/>
      <c r="CO373" s="125"/>
      <c r="CP373" s="125"/>
      <c r="CQ373" s="125"/>
      <c r="CR373" s="125"/>
      <c r="CS373" s="125"/>
      <c r="CT373" s="125"/>
      <c r="CU373" s="125"/>
      <c r="CV373" s="125"/>
      <c r="CW373" s="125"/>
      <c r="CX373" s="125"/>
      <c r="CY373" s="125"/>
      <c r="CZ373" s="125"/>
      <c r="DA373" s="125"/>
      <c r="DB373" s="125"/>
      <c r="DC373" s="125"/>
      <c r="DD373" s="125"/>
      <c r="DE373" s="125"/>
      <c r="DF373" s="125"/>
      <c r="DG373" s="125"/>
      <c r="DH373" s="125"/>
      <c r="DI373" s="125"/>
      <c r="DJ373" s="125"/>
      <c r="DK373" s="125"/>
      <c r="DL373" s="125"/>
      <c r="DM373" s="125"/>
      <c r="DN373" s="125"/>
      <c r="DO373" s="125"/>
      <c r="DP373" s="125"/>
      <c r="DQ373" s="125"/>
      <c r="DR373" s="125"/>
      <c r="DS373" s="125"/>
      <c r="DT373" s="125"/>
      <c r="DU373" s="125"/>
      <c r="DV373" s="125"/>
      <c r="DW373" s="125"/>
      <c r="DX373" s="125"/>
      <c r="DY373" s="125"/>
      <c r="DZ373" s="125"/>
      <c r="EA373" s="125"/>
      <c r="EB373" s="125"/>
      <c r="EC373" s="125"/>
      <c r="ED373" s="125"/>
      <c r="EE373" s="125"/>
      <c r="EF373" s="125"/>
      <c r="EG373" s="125"/>
      <c r="EH373" s="125"/>
      <c r="EI373" s="125"/>
      <c r="EJ373" s="125"/>
      <c r="EK373" s="125"/>
      <c r="EL373" s="125"/>
      <c r="EM373" s="125"/>
      <c r="EN373" s="125"/>
      <c r="EO373" s="125"/>
      <c r="EP373" s="125"/>
      <c r="EQ373" s="125"/>
      <c r="ER373" s="125"/>
      <c r="ES373" s="125"/>
      <c r="ET373" s="125"/>
      <c r="EU373" s="125">
        <f>'O duodécuplo'!$F$97*$D373*$B373</f>
        <v>59.047733109679015</v>
      </c>
      <c r="EV373" s="125">
        <f t="shared" si="420"/>
        <v>5.9020332302905132</v>
      </c>
      <c r="EW373" s="125">
        <f t="shared" si="421"/>
        <v>64.949766339969528</v>
      </c>
    </row>
    <row r="374" spans="2:153" s="38" customFormat="1" ht="15.95" customHeight="1" x14ac:dyDescent="0.25">
      <c r="B374" s="98">
        <f t="shared" si="422"/>
        <v>8</v>
      </c>
      <c r="C374" s="125">
        <f t="shared" si="423"/>
        <v>331.89250191718025</v>
      </c>
      <c r="D374" s="125">
        <f t="shared" si="424"/>
        <v>258.76573824855637</v>
      </c>
      <c r="E374" s="125">
        <f t="shared" si="417"/>
        <v>73.12676366862388</v>
      </c>
      <c r="F374" s="140">
        <f t="shared" si="418"/>
        <v>0.28259832296029186</v>
      </c>
      <c r="G374" s="125">
        <v>0</v>
      </c>
      <c r="H374" s="125">
        <f t="shared" si="425"/>
        <v>8.176997328654382</v>
      </c>
      <c r="I374" s="125">
        <v>0</v>
      </c>
      <c r="J374" s="125">
        <f t="shared" si="419"/>
        <v>8.176997328654382</v>
      </c>
      <c r="K374" s="125">
        <f t="shared" si="426"/>
        <v>8.176997328654382</v>
      </c>
      <c r="L374" s="125">
        <f t="shared" si="428"/>
        <v>8.176997328654382</v>
      </c>
      <c r="M374" s="125">
        <f t="shared" si="429"/>
        <v>0.25839311558547851</v>
      </c>
      <c r="N374" s="125">
        <f t="shared" si="427"/>
        <v>8.4353904442398608</v>
      </c>
      <c r="O374" s="125">
        <f t="shared" si="430"/>
        <v>16.612387772894241</v>
      </c>
      <c r="P374" s="125">
        <f t="shared" si="432"/>
        <v>8.176997328654382</v>
      </c>
      <c r="Q374" s="125">
        <f t="shared" si="433"/>
        <v>0.52495145362345808</v>
      </c>
      <c r="R374" s="125">
        <f t="shared" si="431"/>
        <v>8.7019487822778405</v>
      </c>
      <c r="S374" s="125">
        <f t="shared" si="434"/>
        <v>25.314336555172083</v>
      </c>
      <c r="T374" s="125">
        <f t="shared" si="436"/>
        <v>8.176997328654382</v>
      </c>
      <c r="U374" s="125">
        <f t="shared" si="437"/>
        <v>0.79993303514343794</v>
      </c>
      <c r="V374" s="125">
        <f t="shared" si="435"/>
        <v>8.9769303637978197</v>
      </c>
      <c r="W374" s="125">
        <f t="shared" si="438"/>
        <v>34.291266918969903</v>
      </c>
      <c r="X374" s="125">
        <f t="shared" si="440"/>
        <v>8.176997328654382</v>
      </c>
      <c r="Y374" s="125">
        <f t="shared" si="441"/>
        <v>1.0836040346394491</v>
      </c>
      <c r="Z374" s="125">
        <f t="shared" si="439"/>
        <v>9.2606013632938318</v>
      </c>
      <c r="AA374" s="125">
        <f t="shared" si="442"/>
        <v>43.551868282263733</v>
      </c>
      <c r="AB374" s="125">
        <f t="shared" si="444"/>
        <v>8.176997328654382</v>
      </c>
      <c r="AC374" s="125">
        <f t="shared" si="445"/>
        <v>1.3762390377195342</v>
      </c>
      <c r="AD374" s="125">
        <f t="shared" si="443"/>
        <v>9.5532363663739162</v>
      </c>
      <c r="AE374" s="125">
        <f t="shared" si="446"/>
        <v>53.105104648637649</v>
      </c>
      <c r="AF374" s="125">
        <f t="shared" ref="AF374:AF402" si="448">$E$32*$D374</f>
        <v>8.176997328654382</v>
      </c>
      <c r="AG374" s="125">
        <f t="shared" ref="AG374:AG402" si="449">$E$32*AE374</f>
        <v>1.6781213068969498</v>
      </c>
      <c r="AH374" s="125">
        <f t="shared" si="447"/>
        <v>9.8551186355513316</v>
      </c>
      <c r="AI374" s="125">
        <f t="shared" ref="AI374:AI402" si="450">AE374+AF374+AG374</f>
        <v>62.960223284188977</v>
      </c>
      <c r="AJ374" s="125">
        <f>$E$32*$D374</f>
        <v>8.176997328654382</v>
      </c>
      <c r="AK374" s="125">
        <f>$E$32*AI374</f>
        <v>1.9895430557803719</v>
      </c>
      <c r="AL374" s="125">
        <f t="shared" ref="AL374:AL402" si="451">AJ374+AK374</f>
        <v>10.166540384434754</v>
      </c>
      <c r="AM374" s="125"/>
      <c r="AN374" s="125"/>
      <c r="AO374" s="125"/>
      <c r="AP374" s="125"/>
      <c r="AQ374" s="125"/>
      <c r="AR374" s="125"/>
      <c r="AS374" s="125"/>
      <c r="AT374" s="125"/>
      <c r="AU374" s="125"/>
      <c r="AV374" s="125"/>
      <c r="AW374" s="125"/>
      <c r="AX374" s="125"/>
      <c r="AY374" s="125"/>
      <c r="AZ374" s="125"/>
      <c r="BA374" s="125"/>
      <c r="BB374" s="125"/>
      <c r="BC374" s="125"/>
      <c r="BD374" s="125"/>
      <c r="BE374" s="125"/>
      <c r="BF374" s="125"/>
      <c r="BG374" s="125"/>
      <c r="BH374" s="125"/>
      <c r="BI374" s="125"/>
      <c r="BJ374" s="125"/>
      <c r="BK374" s="125"/>
      <c r="BL374" s="125"/>
      <c r="BM374" s="125"/>
      <c r="BN374" s="125"/>
      <c r="BO374" s="125"/>
      <c r="BP374" s="125"/>
      <c r="BQ374" s="125"/>
      <c r="BR374" s="125"/>
      <c r="BS374" s="125"/>
      <c r="BT374" s="125"/>
      <c r="BU374" s="125"/>
      <c r="BV374" s="125"/>
      <c r="BW374" s="125"/>
      <c r="BX374" s="125"/>
      <c r="BY374" s="125"/>
      <c r="BZ374" s="125"/>
      <c r="CA374" s="125"/>
      <c r="CB374" s="125"/>
      <c r="CC374" s="125"/>
      <c r="CD374" s="125"/>
      <c r="CE374" s="125"/>
      <c r="CF374" s="125"/>
      <c r="CG374" s="125"/>
      <c r="CH374" s="125"/>
      <c r="CI374" s="125"/>
      <c r="CJ374" s="125"/>
      <c r="CK374" s="125"/>
      <c r="CL374" s="125"/>
      <c r="CM374" s="125"/>
      <c r="CN374" s="125"/>
      <c r="CO374" s="125"/>
      <c r="CP374" s="125"/>
      <c r="CQ374" s="125"/>
      <c r="CR374" s="125"/>
      <c r="CS374" s="125"/>
      <c r="CT374" s="125"/>
      <c r="CU374" s="125"/>
      <c r="CV374" s="125"/>
      <c r="CW374" s="125"/>
      <c r="CX374" s="125"/>
      <c r="CY374" s="125"/>
      <c r="CZ374" s="125"/>
      <c r="DA374" s="125"/>
      <c r="DB374" s="125"/>
      <c r="DC374" s="125"/>
      <c r="DD374" s="125"/>
      <c r="DE374" s="125"/>
      <c r="DF374" s="125"/>
      <c r="DG374" s="125"/>
      <c r="DH374" s="125"/>
      <c r="DI374" s="125"/>
      <c r="DJ374" s="125"/>
      <c r="DK374" s="125"/>
      <c r="DL374" s="125"/>
      <c r="DM374" s="125"/>
      <c r="DN374" s="125"/>
      <c r="DO374" s="125"/>
      <c r="DP374" s="125"/>
      <c r="DQ374" s="125"/>
      <c r="DR374" s="125"/>
      <c r="DS374" s="125"/>
      <c r="DT374" s="125"/>
      <c r="DU374" s="125"/>
      <c r="DV374" s="125"/>
      <c r="DW374" s="125"/>
      <c r="DX374" s="125"/>
      <c r="DY374" s="125"/>
      <c r="DZ374" s="125"/>
      <c r="EA374" s="125"/>
      <c r="EB374" s="125"/>
      <c r="EC374" s="125"/>
      <c r="ED374" s="125"/>
      <c r="EE374" s="125"/>
      <c r="EF374" s="125"/>
      <c r="EG374" s="125"/>
      <c r="EH374" s="125"/>
      <c r="EI374" s="125"/>
      <c r="EJ374" s="125"/>
      <c r="EK374" s="125"/>
      <c r="EL374" s="125"/>
      <c r="EM374" s="125"/>
      <c r="EN374" s="125"/>
      <c r="EO374" s="125"/>
      <c r="EP374" s="125"/>
      <c r="EQ374" s="125"/>
      <c r="ER374" s="125"/>
      <c r="ES374" s="125"/>
      <c r="ET374" s="125"/>
      <c r="EU374" s="125">
        <f>'O duodécuplo'!$F$97*$D374*$B374</f>
        <v>65.415978629235056</v>
      </c>
      <c r="EV374" s="125">
        <f t="shared" si="420"/>
        <v>7.7107850393888242</v>
      </c>
      <c r="EW374" s="125">
        <f t="shared" si="421"/>
        <v>73.12676366862388</v>
      </c>
    </row>
    <row r="375" spans="2:153" s="38" customFormat="1" ht="15.95" customHeight="1" x14ac:dyDescent="0.25">
      <c r="B375" s="98">
        <f t="shared" si="422"/>
        <v>9</v>
      </c>
      <c r="C375" s="125">
        <f t="shared" si="423"/>
        <v>331.89250191718025</v>
      </c>
      <c r="D375" s="125">
        <f t="shared" si="424"/>
        <v>250.83921893035711</v>
      </c>
      <c r="E375" s="125">
        <f t="shared" si="417"/>
        <v>81.053282986823149</v>
      </c>
      <c r="F375" s="140">
        <f t="shared" si="418"/>
        <v>0.32312842996583702</v>
      </c>
      <c r="G375" s="125">
        <v>0</v>
      </c>
      <c r="H375" s="125">
        <f t="shared" si="425"/>
        <v>7.9265193181992855</v>
      </c>
      <c r="I375" s="125">
        <v>0</v>
      </c>
      <c r="J375" s="125">
        <f t="shared" si="419"/>
        <v>7.9265193181992855</v>
      </c>
      <c r="K375" s="125">
        <f t="shared" si="426"/>
        <v>7.9265193181992855</v>
      </c>
      <c r="L375" s="125">
        <f t="shared" si="428"/>
        <v>7.9265193181992855</v>
      </c>
      <c r="M375" s="125">
        <f t="shared" si="429"/>
        <v>0.25047801045509743</v>
      </c>
      <c r="N375" s="125">
        <f t="shared" si="427"/>
        <v>8.1769973286543838</v>
      </c>
      <c r="O375" s="125">
        <f t="shared" si="430"/>
        <v>16.10351664685367</v>
      </c>
      <c r="P375" s="125">
        <f t="shared" si="432"/>
        <v>7.9265193181992855</v>
      </c>
      <c r="Q375" s="125">
        <f t="shared" si="433"/>
        <v>0.50887112604057605</v>
      </c>
      <c r="R375" s="125">
        <f t="shared" si="431"/>
        <v>8.4353904442398608</v>
      </c>
      <c r="S375" s="125">
        <f t="shared" si="434"/>
        <v>24.538907091093531</v>
      </c>
      <c r="T375" s="125">
        <f t="shared" si="436"/>
        <v>7.9265193181992855</v>
      </c>
      <c r="U375" s="125">
        <f t="shared" si="437"/>
        <v>0.77542946407855562</v>
      </c>
      <c r="V375" s="125">
        <f t="shared" si="435"/>
        <v>8.7019487822778405</v>
      </c>
      <c r="W375" s="125">
        <f t="shared" si="438"/>
        <v>33.240855873371373</v>
      </c>
      <c r="X375" s="125">
        <f t="shared" si="440"/>
        <v>7.9265193181992855</v>
      </c>
      <c r="Y375" s="125">
        <f t="shared" si="441"/>
        <v>1.0504110455985356</v>
      </c>
      <c r="Z375" s="125">
        <f t="shared" si="439"/>
        <v>8.9769303637978215</v>
      </c>
      <c r="AA375" s="125">
        <f t="shared" si="442"/>
        <v>42.217786237169193</v>
      </c>
      <c r="AB375" s="125">
        <f t="shared" si="444"/>
        <v>7.9265193181992855</v>
      </c>
      <c r="AC375" s="125">
        <f t="shared" si="445"/>
        <v>1.3340820450945465</v>
      </c>
      <c r="AD375" s="125">
        <f t="shared" si="443"/>
        <v>9.2606013632938318</v>
      </c>
      <c r="AE375" s="125">
        <f t="shared" si="446"/>
        <v>51.478387600463023</v>
      </c>
      <c r="AF375" s="125">
        <f t="shared" si="448"/>
        <v>7.9265193181992855</v>
      </c>
      <c r="AG375" s="125">
        <f t="shared" si="449"/>
        <v>1.6267170481746316</v>
      </c>
      <c r="AH375" s="125">
        <f t="shared" si="447"/>
        <v>9.5532363663739162</v>
      </c>
      <c r="AI375" s="125">
        <f t="shared" si="450"/>
        <v>61.031623966836939</v>
      </c>
      <c r="AJ375" s="125">
        <f t="shared" ref="AJ375:AJ402" si="452">$E$32*$D375</f>
        <v>7.9265193181992855</v>
      </c>
      <c r="AK375" s="125">
        <f t="shared" ref="AK375:AK402" si="453">$E$32*AI375</f>
        <v>1.9285993173520475</v>
      </c>
      <c r="AL375" s="125">
        <f t="shared" si="451"/>
        <v>9.8551186355513334</v>
      </c>
      <c r="AM375" s="125">
        <f t="shared" ref="AM375:AM402" si="454">AI375+AJ375+AK375</f>
        <v>70.886742602388281</v>
      </c>
      <c r="AN375" s="125">
        <f>$E$32*$D375</f>
        <v>7.9265193181992855</v>
      </c>
      <c r="AO375" s="125">
        <f>$E$32*AM375</f>
        <v>2.24002106623547</v>
      </c>
      <c r="AP375" s="125">
        <f t="shared" ref="AP375:AP402" si="455">AN375+AO375</f>
        <v>10.166540384434755</v>
      </c>
      <c r="AQ375" s="125"/>
      <c r="AR375" s="125"/>
      <c r="AS375" s="125"/>
      <c r="AT375" s="125"/>
      <c r="AU375" s="125"/>
      <c r="AV375" s="125"/>
      <c r="AW375" s="125"/>
      <c r="AX375" s="125"/>
      <c r="AY375" s="125"/>
      <c r="AZ375" s="125"/>
      <c r="BA375" s="125"/>
      <c r="BB375" s="125"/>
      <c r="BC375" s="125"/>
      <c r="BD375" s="125"/>
      <c r="BE375" s="125"/>
      <c r="BF375" s="125"/>
      <c r="BG375" s="125"/>
      <c r="BH375" s="125"/>
      <c r="BI375" s="125"/>
      <c r="BJ375" s="125"/>
      <c r="BK375" s="125"/>
      <c r="BL375" s="125"/>
      <c r="BM375" s="125"/>
      <c r="BN375" s="125"/>
      <c r="BO375" s="125"/>
      <c r="BP375" s="125"/>
      <c r="BQ375" s="125"/>
      <c r="BR375" s="125"/>
      <c r="BS375" s="125"/>
      <c r="BT375" s="125"/>
      <c r="BU375" s="125"/>
      <c r="BV375" s="125"/>
      <c r="BW375" s="125"/>
      <c r="BX375" s="125"/>
      <c r="BY375" s="125"/>
      <c r="BZ375" s="125"/>
      <c r="CA375" s="125"/>
      <c r="CB375" s="125"/>
      <c r="CC375" s="125"/>
      <c r="CD375" s="125"/>
      <c r="CE375" s="125"/>
      <c r="CF375" s="125"/>
      <c r="CG375" s="125"/>
      <c r="CH375" s="125"/>
      <c r="CI375" s="125"/>
      <c r="CJ375" s="125"/>
      <c r="CK375" s="125"/>
      <c r="CL375" s="125"/>
      <c r="CM375" s="125"/>
      <c r="CN375" s="125"/>
      <c r="CO375" s="125"/>
      <c r="CP375" s="125"/>
      <c r="CQ375" s="125"/>
      <c r="CR375" s="125"/>
      <c r="CS375" s="125"/>
      <c r="CT375" s="125"/>
      <c r="CU375" s="125"/>
      <c r="CV375" s="125"/>
      <c r="CW375" s="125"/>
      <c r="CX375" s="125"/>
      <c r="CY375" s="125"/>
      <c r="CZ375" s="125"/>
      <c r="DA375" s="125"/>
      <c r="DB375" s="125"/>
      <c r="DC375" s="125"/>
      <c r="DD375" s="125"/>
      <c r="DE375" s="125"/>
      <c r="DF375" s="125"/>
      <c r="DG375" s="125"/>
      <c r="DH375" s="125"/>
      <c r="DI375" s="125"/>
      <c r="DJ375" s="125"/>
      <c r="DK375" s="125"/>
      <c r="DL375" s="125"/>
      <c r="DM375" s="125"/>
      <c r="DN375" s="125"/>
      <c r="DO375" s="125"/>
      <c r="DP375" s="125"/>
      <c r="DQ375" s="125"/>
      <c r="DR375" s="125"/>
      <c r="DS375" s="125"/>
      <c r="DT375" s="125"/>
      <c r="DU375" s="125"/>
      <c r="DV375" s="125"/>
      <c r="DW375" s="125"/>
      <c r="DX375" s="125"/>
      <c r="DY375" s="125"/>
      <c r="DZ375" s="125"/>
      <c r="EA375" s="125"/>
      <c r="EB375" s="125"/>
      <c r="EC375" s="125"/>
      <c r="ED375" s="125"/>
      <c r="EE375" s="125"/>
      <c r="EF375" s="125"/>
      <c r="EG375" s="125"/>
      <c r="EH375" s="125"/>
      <c r="EI375" s="125"/>
      <c r="EJ375" s="125"/>
      <c r="EK375" s="125"/>
      <c r="EL375" s="125"/>
      <c r="EM375" s="125"/>
      <c r="EN375" s="125"/>
      <c r="EO375" s="125"/>
      <c r="EP375" s="125"/>
      <c r="EQ375" s="125"/>
      <c r="ER375" s="125"/>
      <c r="ES375" s="125"/>
      <c r="ET375" s="125"/>
      <c r="EU375" s="125">
        <f>'O duodécuplo'!$F$97*$D375*$B375</f>
        <v>71.338673863793574</v>
      </c>
      <c r="EV375" s="125">
        <f t="shared" si="420"/>
        <v>9.7146091230295752</v>
      </c>
      <c r="EW375" s="125">
        <f t="shared" si="421"/>
        <v>81.053282986823149</v>
      </c>
    </row>
    <row r="376" spans="2:153" s="38" customFormat="1" ht="15.95" customHeight="1" x14ac:dyDescent="0.25">
      <c r="B376" s="98">
        <f t="shared" si="422"/>
        <v>10</v>
      </c>
      <c r="C376" s="125">
        <f t="shared" si="423"/>
        <v>331.89250191718025</v>
      </c>
      <c r="D376" s="125">
        <f t="shared" si="424"/>
        <v>243.15550497320385</v>
      </c>
      <c r="E376" s="125">
        <f t="shared" si="417"/>
        <v>88.736996943976408</v>
      </c>
      <c r="F376" s="140">
        <f t="shared" si="418"/>
        <v>0.36493928835275752</v>
      </c>
      <c r="G376" s="125">
        <v>0</v>
      </c>
      <c r="H376" s="125">
        <f t="shared" si="425"/>
        <v>7.683713957153242</v>
      </c>
      <c r="I376" s="125">
        <v>0</v>
      </c>
      <c r="J376" s="125">
        <f t="shared" si="419"/>
        <v>7.683713957153242</v>
      </c>
      <c r="K376" s="125">
        <f t="shared" si="426"/>
        <v>7.683713957153242</v>
      </c>
      <c r="L376" s="125">
        <f t="shared" si="428"/>
        <v>7.683713957153242</v>
      </c>
      <c r="M376" s="125">
        <f t="shared" si="429"/>
        <v>0.24280536104604247</v>
      </c>
      <c r="N376" s="125">
        <f t="shared" si="427"/>
        <v>7.9265193181992846</v>
      </c>
      <c r="O376" s="125">
        <f t="shared" si="430"/>
        <v>15.610233275352526</v>
      </c>
      <c r="P376" s="125">
        <f t="shared" si="432"/>
        <v>7.683713957153242</v>
      </c>
      <c r="Q376" s="125">
        <f t="shared" si="433"/>
        <v>0.49328337150113988</v>
      </c>
      <c r="R376" s="125">
        <f t="shared" si="431"/>
        <v>8.176997328654382</v>
      </c>
      <c r="S376" s="125">
        <f t="shared" si="434"/>
        <v>23.787230604006908</v>
      </c>
      <c r="T376" s="125">
        <f t="shared" si="436"/>
        <v>7.683713957153242</v>
      </c>
      <c r="U376" s="125">
        <f t="shared" si="437"/>
        <v>0.75167648708661838</v>
      </c>
      <c r="V376" s="125">
        <f t="shared" si="435"/>
        <v>8.4353904442398608</v>
      </c>
      <c r="W376" s="125">
        <f t="shared" si="438"/>
        <v>32.222621048246765</v>
      </c>
      <c r="X376" s="125">
        <f t="shared" si="440"/>
        <v>7.683713957153242</v>
      </c>
      <c r="Y376" s="125">
        <f t="shared" si="441"/>
        <v>1.0182348251245978</v>
      </c>
      <c r="Z376" s="125">
        <f t="shared" si="439"/>
        <v>8.7019487822778405</v>
      </c>
      <c r="AA376" s="125">
        <f t="shared" si="442"/>
        <v>40.924569830524611</v>
      </c>
      <c r="AB376" s="125">
        <f t="shared" si="444"/>
        <v>7.683713957153242</v>
      </c>
      <c r="AC376" s="125">
        <f t="shared" si="445"/>
        <v>1.2932164066445779</v>
      </c>
      <c r="AD376" s="125">
        <f t="shared" si="443"/>
        <v>8.9769303637978197</v>
      </c>
      <c r="AE376" s="125">
        <f t="shared" si="446"/>
        <v>49.901500194322431</v>
      </c>
      <c r="AF376" s="125">
        <f t="shared" si="448"/>
        <v>7.683713957153242</v>
      </c>
      <c r="AG376" s="125">
        <f t="shared" si="449"/>
        <v>1.5768874061405889</v>
      </c>
      <c r="AH376" s="125">
        <f t="shared" si="447"/>
        <v>9.26060136329383</v>
      </c>
      <c r="AI376" s="125">
        <f t="shared" si="450"/>
        <v>59.162101557616268</v>
      </c>
      <c r="AJ376" s="125">
        <f t="shared" si="452"/>
        <v>7.683713957153242</v>
      </c>
      <c r="AK376" s="125">
        <f t="shared" si="453"/>
        <v>1.8695224092206741</v>
      </c>
      <c r="AL376" s="125">
        <f t="shared" si="451"/>
        <v>9.5532363663739162</v>
      </c>
      <c r="AM376" s="125">
        <f t="shared" si="454"/>
        <v>68.715337923990191</v>
      </c>
      <c r="AN376" s="125">
        <f t="shared" ref="AN376:AN402" si="456">$E$32*$D376</f>
        <v>7.683713957153242</v>
      </c>
      <c r="AO376" s="125">
        <f t="shared" ref="AO376:AO402" si="457">$E$32*AM376</f>
        <v>2.17140467839809</v>
      </c>
      <c r="AP376" s="125">
        <f t="shared" si="455"/>
        <v>9.8551186355513316</v>
      </c>
      <c r="AQ376" s="125">
        <f t="shared" ref="AQ376:AQ402" si="458">AM376+AN376+AO376</f>
        <v>78.570456559541526</v>
      </c>
      <c r="AR376" s="125">
        <f>$E$32*$D376</f>
        <v>7.683713957153242</v>
      </c>
      <c r="AS376" s="125">
        <f>$E$32*AQ376</f>
        <v>2.4828264272815126</v>
      </c>
      <c r="AT376" s="125">
        <f t="shared" ref="AT376:AT402" si="459">AR376+AS376</f>
        <v>10.166540384434754</v>
      </c>
      <c r="AU376" s="125"/>
      <c r="AV376" s="125"/>
      <c r="AW376" s="125"/>
      <c r="AX376" s="125"/>
      <c r="AY376" s="125"/>
      <c r="AZ376" s="125"/>
      <c r="BA376" s="125"/>
      <c r="BB376" s="125"/>
      <c r="BC376" s="125"/>
      <c r="BD376" s="125"/>
      <c r="BE376" s="125"/>
      <c r="BF376" s="125"/>
      <c r="BG376" s="125"/>
      <c r="BH376" s="125"/>
      <c r="BI376" s="125"/>
      <c r="BJ376" s="125"/>
      <c r="BK376" s="125"/>
      <c r="BL376" s="125"/>
      <c r="BM376" s="125"/>
      <c r="BN376" s="125"/>
      <c r="BO376" s="125"/>
      <c r="BP376" s="125"/>
      <c r="BQ376" s="125"/>
      <c r="BR376" s="125"/>
      <c r="BS376" s="125"/>
      <c r="BT376" s="125"/>
      <c r="BU376" s="125"/>
      <c r="BV376" s="125"/>
      <c r="BW376" s="125"/>
      <c r="BX376" s="125"/>
      <c r="BY376" s="125"/>
      <c r="BZ376" s="125"/>
      <c r="CA376" s="125"/>
      <c r="CB376" s="125"/>
      <c r="CC376" s="125"/>
      <c r="CD376" s="125"/>
      <c r="CE376" s="125"/>
      <c r="CF376" s="125"/>
      <c r="CG376" s="125"/>
      <c r="CH376" s="125"/>
      <c r="CI376" s="125"/>
      <c r="CJ376" s="125"/>
      <c r="CK376" s="125"/>
      <c r="CL376" s="125"/>
      <c r="CM376" s="125"/>
      <c r="CN376" s="125"/>
      <c r="CO376" s="125"/>
      <c r="CP376" s="125"/>
      <c r="CQ376" s="125"/>
      <c r="CR376" s="125"/>
      <c r="CS376" s="125"/>
      <c r="CT376" s="125"/>
      <c r="CU376" s="125"/>
      <c r="CV376" s="125"/>
      <c r="CW376" s="125"/>
      <c r="CX376" s="125"/>
      <c r="CY376" s="125"/>
      <c r="CZ376" s="125"/>
      <c r="DA376" s="125"/>
      <c r="DB376" s="125"/>
      <c r="DC376" s="125"/>
      <c r="DD376" s="125"/>
      <c r="DE376" s="125"/>
      <c r="DF376" s="125"/>
      <c r="DG376" s="125"/>
      <c r="DH376" s="125"/>
      <c r="DI376" s="125"/>
      <c r="DJ376" s="125"/>
      <c r="DK376" s="125"/>
      <c r="DL376" s="125"/>
      <c r="DM376" s="125"/>
      <c r="DN376" s="125"/>
      <c r="DO376" s="125"/>
      <c r="DP376" s="125"/>
      <c r="DQ376" s="125"/>
      <c r="DR376" s="125"/>
      <c r="DS376" s="125"/>
      <c r="DT376" s="125"/>
      <c r="DU376" s="125"/>
      <c r="DV376" s="125"/>
      <c r="DW376" s="125"/>
      <c r="DX376" s="125"/>
      <c r="DY376" s="125"/>
      <c r="DZ376" s="125"/>
      <c r="EA376" s="125"/>
      <c r="EB376" s="125"/>
      <c r="EC376" s="125"/>
      <c r="ED376" s="125"/>
      <c r="EE376" s="125"/>
      <c r="EF376" s="125"/>
      <c r="EG376" s="125"/>
      <c r="EH376" s="125"/>
      <c r="EI376" s="125"/>
      <c r="EJ376" s="125"/>
      <c r="EK376" s="125"/>
      <c r="EL376" s="125"/>
      <c r="EM376" s="125"/>
      <c r="EN376" s="125"/>
      <c r="EO376" s="125"/>
      <c r="EP376" s="125"/>
      <c r="EQ376" s="125"/>
      <c r="ER376" s="125"/>
      <c r="ES376" s="125"/>
      <c r="ET376" s="125"/>
      <c r="EU376" s="125">
        <f>'O duodécuplo'!$F$97*$D376*$B376</f>
        <v>76.837139571532418</v>
      </c>
      <c r="EV376" s="125">
        <f t="shared" si="420"/>
        <v>11.899857372443989</v>
      </c>
      <c r="EW376" s="125">
        <f t="shared" si="421"/>
        <v>88.736996943976408</v>
      </c>
    </row>
    <row r="377" spans="2:153" s="38" customFormat="1" ht="15.95" customHeight="1" x14ac:dyDescent="0.25">
      <c r="B377" s="98">
        <f t="shared" si="422"/>
        <v>11</v>
      </c>
      <c r="C377" s="125">
        <f t="shared" si="423"/>
        <v>331.89250191718025</v>
      </c>
      <c r="D377" s="125">
        <f t="shared" si="424"/>
        <v>235.70715875649844</v>
      </c>
      <c r="E377" s="125">
        <f t="shared" si="417"/>
        <v>96.185343160681811</v>
      </c>
      <c r="F377" s="140">
        <f t="shared" si="418"/>
        <v>0.40807136986470499</v>
      </c>
      <c r="G377" s="125">
        <v>0</v>
      </c>
      <c r="H377" s="125">
        <f t="shared" si="425"/>
        <v>7.4483462167053514</v>
      </c>
      <c r="I377" s="125">
        <v>0</v>
      </c>
      <c r="J377" s="125">
        <f t="shared" si="419"/>
        <v>7.4483462167053514</v>
      </c>
      <c r="K377" s="125">
        <f t="shared" si="426"/>
        <v>7.4483462167053514</v>
      </c>
      <c r="L377" s="125">
        <f t="shared" si="428"/>
        <v>7.4483462167053514</v>
      </c>
      <c r="M377" s="125">
        <f t="shared" si="429"/>
        <v>0.23536774044788913</v>
      </c>
      <c r="N377" s="125">
        <f t="shared" si="427"/>
        <v>7.6837139571532402</v>
      </c>
      <c r="O377" s="125">
        <f t="shared" si="430"/>
        <v>15.132060173858592</v>
      </c>
      <c r="P377" s="125">
        <f t="shared" si="432"/>
        <v>7.4483462167053514</v>
      </c>
      <c r="Q377" s="125">
        <f t="shared" si="433"/>
        <v>0.47817310149393155</v>
      </c>
      <c r="R377" s="125">
        <f t="shared" si="431"/>
        <v>7.9265193181992828</v>
      </c>
      <c r="S377" s="125">
        <f t="shared" si="434"/>
        <v>23.058579492057877</v>
      </c>
      <c r="T377" s="125">
        <f t="shared" si="436"/>
        <v>7.4483462167053514</v>
      </c>
      <c r="U377" s="125">
        <f t="shared" si="437"/>
        <v>0.72865111194902898</v>
      </c>
      <c r="V377" s="125">
        <f t="shared" si="435"/>
        <v>8.1769973286543802</v>
      </c>
      <c r="W377" s="125">
        <f t="shared" si="438"/>
        <v>31.235576820712257</v>
      </c>
      <c r="X377" s="125">
        <f t="shared" si="440"/>
        <v>7.4483462167053514</v>
      </c>
      <c r="Y377" s="125">
        <f t="shared" si="441"/>
        <v>0.98704422753450738</v>
      </c>
      <c r="Z377" s="125">
        <f t="shared" si="439"/>
        <v>8.4353904442398591</v>
      </c>
      <c r="AA377" s="125">
        <f t="shared" si="442"/>
        <v>39.670967264952111</v>
      </c>
      <c r="AB377" s="125">
        <f t="shared" si="444"/>
        <v>7.4483462167053514</v>
      </c>
      <c r="AC377" s="125">
        <f t="shared" si="445"/>
        <v>1.2536025655724867</v>
      </c>
      <c r="AD377" s="125">
        <f t="shared" si="443"/>
        <v>8.7019487822778387</v>
      </c>
      <c r="AE377" s="125">
        <f t="shared" si="446"/>
        <v>48.37291604722995</v>
      </c>
      <c r="AF377" s="125">
        <f t="shared" si="448"/>
        <v>7.4483462167053514</v>
      </c>
      <c r="AG377" s="125">
        <f t="shared" si="449"/>
        <v>1.5285841470924666</v>
      </c>
      <c r="AH377" s="125">
        <f t="shared" si="447"/>
        <v>8.9769303637978179</v>
      </c>
      <c r="AI377" s="125">
        <f t="shared" si="450"/>
        <v>57.349846411027769</v>
      </c>
      <c r="AJ377" s="125">
        <f t="shared" si="452"/>
        <v>7.4483462167053514</v>
      </c>
      <c r="AK377" s="125">
        <f t="shared" si="453"/>
        <v>1.8122551465884777</v>
      </c>
      <c r="AL377" s="125">
        <f t="shared" si="451"/>
        <v>9.26060136329383</v>
      </c>
      <c r="AM377" s="125">
        <f t="shared" si="454"/>
        <v>66.610447774321599</v>
      </c>
      <c r="AN377" s="125">
        <f t="shared" si="456"/>
        <v>7.4483462167053514</v>
      </c>
      <c r="AO377" s="125">
        <f t="shared" si="457"/>
        <v>2.1048901496685626</v>
      </c>
      <c r="AP377" s="125">
        <f t="shared" si="455"/>
        <v>9.5532363663739144</v>
      </c>
      <c r="AQ377" s="125">
        <f t="shared" si="458"/>
        <v>76.163684140695509</v>
      </c>
      <c r="AR377" s="125">
        <f t="shared" ref="AR377:AR402" si="460">$E$32*$D377</f>
        <v>7.4483462167053514</v>
      </c>
      <c r="AS377" s="125">
        <f t="shared" ref="AS377:AS402" si="461">$E$32*AQ377</f>
        <v>2.4067724188459785</v>
      </c>
      <c r="AT377" s="125">
        <f t="shared" si="459"/>
        <v>9.8551186355513298</v>
      </c>
      <c r="AU377" s="125">
        <f t="shared" ref="AU377:AU402" si="462">AQ377+AR377+AS377</f>
        <v>86.018802776246829</v>
      </c>
      <c r="AV377" s="125">
        <f>$E$32*$D377</f>
        <v>7.4483462167053514</v>
      </c>
      <c r="AW377" s="125">
        <f>$E$32*AU377</f>
        <v>2.7181941677294001</v>
      </c>
      <c r="AX377" s="125">
        <f t="shared" ref="AX377:AX402" si="463">AV377+AW377</f>
        <v>10.166540384434752</v>
      </c>
      <c r="AY377" s="125"/>
      <c r="AZ377" s="125"/>
      <c r="BA377" s="125"/>
      <c r="BB377" s="125"/>
      <c r="BC377" s="125"/>
      <c r="BD377" s="125"/>
      <c r="BE377" s="125"/>
      <c r="BF377" s="125"/>
      <c r="BG377" s="125"/>
      <c r="BH377" s="125"/>
      <c r="BI377" s="125"/>
      <c r="BJ377" s="125"/>
      <c r="BK377" s="125"/>
      <c r="BL377" s="125"/>
      <c r="BM377" s="125"/>
      <c r="BN377" s="125"/>
      <c r="BO377" s="125"/>
      <c r="BP377" s="125"/>
      <c r="BQ377" s="125"/>
      <c r="BR377" s="125"/>
      <c r="BS377" s="125"/>
      <c r="BT377" s="125"/>
      <c r="BU377" s="125"/>
      <c r="BV377" s="125"/>
      <c r="BW377" s="125"/>
      <c r="BX377" s="125"/>
      <c r="BY377" s="125"/>
      <c r="BZ377" s="125"/>
      <c r="CA377" s="125"/>
      <c r="CB377" s="125"/>
      <c r="CC377" s="125"/>
      <c r="CD377" s="125"/>
      <c r="CE377" s="125"/>
      <c r="CF377" s="125"/>
      <c r="CG377" s="125"/>
      <c r="CH377" s="125"/>
      <c r="CI377" s="125"/>
      <c r="CJ377" s="125"/>
      <c r="CK377" s="125"/>
      <c r="CL377" s="125"/>
      <c r="CM377" s="125"/>
      <c r="CN377" s="125"/>
      <c r="CO377" s="125"/>
      <c r="CP377" s="125"/>
      <c r="CQ377" s="125"/>
      <c r="CR377" s="125"/>
      <c r="CS377" s="125"/>
      <c r="CT377" s="125"/>
      <c r="CU377" s="125"/>
      <c r="CV377" s="125"/>
      <c r="CW377" s="125"/>
      <c r="CX377" s="125"/>
      <c r="CY377" s="125"/>
      <c r="CZ377" s="125"/>
      <c r="DA377" s="125"/>
      <c r="DB377" s="125"/>
      <c r="DC377" s="125"/>
      <c r="DD377" s="125"/>
      <c r="DE377" s="125"/>
      <c r="DF377" s="125"/>
      <c r="DG377" s="125"/>
      <c r="DH377" s="125"/>
      <c r="DI377" s="125"/>
      <c r="DJ377" s="125"/>
      <c r="DK377" s="125"/>
      <c r="DL377" s="125"/>
      <c r="DM377" s="125"/>
      <c r="DN377" s="125"/>
      <c r="DO377" s="125"/>
      <c r="DP377" s="125"/>
      <c r="DQ377" s="125"/>
      <c r="DR377" s="125"/>
      <c r="DS377" s="125"/>
      <c r="DT377" s="125"/>
      <c r="DU377" s="125"/>
      <c r="DV377" s="125"/>
      <c r="DW377" s="125"/>
      <c r="DX377" s="125"/>
      <c r="DY377" s="125"/>
      <c r="DZ377" s="125"/>
      <c r="EA377" s="125"/>
      <c r="EB377" s="125"/>
      <c r="EC377" s="125"/>
      <c r="ED377" s="125"/>
      <c r="EE377" s="125"/>
      <c r="EF377" s="125"/>
      <c r="EG377" s="125"/>
      <c r="EH377" s="125"/>
      <c r="EI377" s="125"/>
      <c r="EJ377" s="125"/>
      <c r="EK377" s="125"/>
      <c r="EL377" s="125"/>
      <c r="EM377" s="125"/>
      <c r="EN377" s="125"/>
      <c r="EO377" s="125"/>
      <c r="EP377" s="125"/>
      <c r="EQ377" s="125"/>
      <c r="ER377" s="125"/>
      <c r="ES377" s="125"/>
      <c r="ET377" s="125"/>
      <c r="EU377" s="125">
        <f>'O duodécuplo'!$F$97*$D377*$B377</f>
        <v>81.931808383758863</v>
      </c>
      <c r="EV377" s="125">
        <f t="shared" si="420"/>
        <v>14.253534776922947</v>
      </c>
      <c r="EW377" s="125">
        <f t="shared" si="421"/>
        <v>96.185343160681811</v>
      </c>
    </row>
    <row r="378" spans="2:153" s="38" customFormat="1" ht="15.95" customHeight="1" x14ac:dyDescent="0.25">
      <c r="B378" s="98">
        <f t="shared" si="422"/>
        <v>12</v>
      </c>
      <c r="C378" s="125">
        <f t="shared" si="423"/>
        <v>331.89250191718025</v>
      </c>
      <c r="D378" s="125">
        <f t="shared" si="424"/>
        <v>228.48697048904467</v>
      </c>
      <c r="E378" s="125">
        <f t="shared" si="417"/>
        <v>103.40553142813559</v>
      </c>
      <c r="F378" s="140">
        <f t="shared" si="418"/>
        <v>0.45256642515242945</v>
      </c>
      <c r="G378" s="125">
        <v>0</v>
      </c>
      <c r="H378" s="125">
        <f t="shared" si="425"/>
        <v>7.2201882674538123</v>
      </c>
      <c r="I378" s="125">
        <v>0</v>
      </c>
      <c r="J378" s="125">
        <f t="shared" si="419"/>
        <v>7.2201882674538123</v>
      </c>
      <c r="K378" s="125">
        <f t="shared" si="426"/>
        <v>7.2201882674538123</v>
      </c>
      <c r="L378" s="125">
        <f t="shared" si="428"/>
        <v>7.2201882674538123</v>
      </c>
      <c r="M378" s="125">
        <f t="shared" si="429"/>
        <v>0.22815794925154048</v>
      </c>
      <c r="N378" s="125">
        <f t="shared" si="427"/>
        <v>7.4483462167053531</v>
      </c>
      <c r="O378" s="125">
        <f t="shared" si="430"/>
        <v>14.668534484159165</v>
      </c>
      <c r="P378" s="125">
        <f t="shared" si="432"/>
        <v>7.2201882674538123</v>
      </c>
      <c r="Q378" s="125">
        <f t="shared" si="433"/>
        <v>0.46352568969942964</v>
      </c>
      <c r="R378" s="125">
        <f t="shared" si="431"/>
        <v>7.683713957153242</v>
      </c>
      <c r="S378" s="125">
        <f t="shared" si="434"/>
        <v>22.352248441312408</v>
      </c>
      <c r="T378" s="125">
        <f t="shared" si="436"/>
        <v>7.2201882674538123</v>
      </c>
      <c r="U378" s="125">
        <f t="shared" si="437"/>
        <v>0.7063310507454722</v>
      </c>
      <c r="V378" s="125">
        <f t="shared" si="435"/>
        <v>7.9265193181992846</v>
      </c>
      <c r="W378" s="125">
        <f t="shared" si="438"/>
        <v>30.278767759511691</v>
      </c>
      <c r="X378" s="125">
        <f t="shared" si="440"/>
        <v>7.2201882674538123</v>
      </c>
      <c r="Y378" s="125">
        <f t="shared" si="441"/>
        <v>0.95680906120056952</v>
      </c>
      <c r="Z378" s="125">
        <f t="shared" si="439"/>
        <v>8.176997328654382</v>
      </c>
      <c r="AA378" s="125">
        <f t="shared" si="442"/>
        <v>38.455765088166068</v>
      </c>
      <c r="AB378" s="125">
        <f t="shared" si="444"/>
        <v>7.2201882674538123</v>
      </c>
      <c r="AC378" s="125">
        <f t="shared" si="445"/>
        <v>1.2152021767860479</v>
      </c>
      <c r="AD378" s="125">
        <f t="shared" si="443"/>
        <v>8.4353904442398608</v>
      </c>
      <c r="AE378" s="125">
        <f t="shared" si="446"/>
        <v>46.891155532405932</v>
      </c>
      <c r="AF378" s="125">
        <f t="shared" si="448"/>
        <v>7.2201882674538123</v>
      </c>
      <c r="AG378" s="125">
        <f t="shared" si="449"/>
        <v>1.4817605148240276</v>
      </c>
      <c r="AH378" s="125">
        <f t="shared" si="447"/>
        <v>8.7019487822778405</v>
      </c>
      <c r="AI378" s="125">
        <f t="shared" si="450"/>
        <v>55.593104314683771</v>
      </c>
      <c r="AJ378" s="125">
        <f t="shared" si="452"/>
        <v>7.2201882674538123</v>
      </c>
      <c r="AK378" s="125">
        <f t="shared" si="453"/>
        <v>1.7567420963440072</v>
      </c>
      <c r="AL378" s="125">
        <f t="shared" si="451"/>
        <v>8.9769303637978197</v>
      </c>
      <c r="AM378" s="125">
        <f t="shared" si="454"/>
        <v>64.570034678481591</v>
      </c>
      <c r="AN378" s="125">
        <f t="shared" si="456"/>
        <v>7.2201882674538123</v>
      </c>
      <c r="AO378" s="125">
        <f t="shared" si="457"/>
        <v>2.0404130958400186</v>
      </c>
      <c r="AP378" s="125">
        <f t="shared" si="455"/>
        <v>9.26060136329383</v>
      </c>
      <c r="AQ378" s="125">
        <f t="shared" si="458"/>
        <v>73.830636041775421</v>
      </c>
      <c r="AR378" s="125">
        <f t="shared" si="460"/>
        <v>7.2201882674538123</v>
      </c>
      <c r="AS378" s="125">
        <f t="shared" si="461"/>
        <v>2.3330480989201035</v>
      </c>
      <c r="AT378" s="125">
        <f t="shared" si="459"/>
        <v>9.5532363663739162</v>
      </c>
      <c r="AU378" s="125">
        <f t="shared" si="462"/>
        <v>83.38387240814933</v>
      </c>
      <c r="AV378" s="125">
        <f t="shared" ref="AV378:AV402" si="464">$E$32*$D378</f>
        <v>7.2201882674538123</v>
      </c>
      <c r="AW378" s="125">
        <f t="shared" ref="AW378:AW402" si="465">$E$32*AU378</f>
        <v>2.6349303680975189</v>
      </c>
      <c r="AX378" s="125">
        <f t="shared" si="463"/>
        <v>9.8551186355513316</v>
      </c>
      <c r="AY378" s="125">
        <f t="shared" ref="AY378:AY402" si="466">AU378+AV378+AW378</f>
        <v>93.238991043700651</v>
      </c>
      <c r="AZ378" s="125">
        <f>$E$32*$D378</f>
        <v>7.2201882674538123</v>
      </c>
      <c r="BA378" s="125">
        <f>$E$32*AY378</f>
        <v>2.946352116980941</v>
      </c>
      <c r="BB378" s="125">
        <f t="shared" ref="BB378:BB402" si="467">AZ378+BA378</f>
        <v>10.166540384434754</v>
      </c>
      <c r="BC378" s="125"/>
      <c r="BD378" s="125"/>
      <c r="BE378" s="125"/>
      <c r="BF378" s="125"/>
      <c r="BG378" s="125"/>
      <c r="BH378" s="125"/>
      <c r="BI378" s="125"/>
      <c r="BJ378" s="125"/>
      <c r="BK378" s="125"/>
      <c r="BL378" s="125"/>
      <c r="BM378" s="125"/>
      <c r="BN378" s="125"/>
      <c r="BO378" s="125"/>
      <c r="BP378" s="125"/>
      <c r="BQ378" s="125"/>
      <c r="BR378" s="125"/>
      <c r="BS378" s="125"/>
      <c r="BT378" s="125"/>
      <c r="BU378" s="125"/>
      <c r="BV378" s="125"/>
      <c r="BW378" s="125"/>
      <c r="BX378" s="125"/>
      <c r="BY378" s="125"/>
      <c r="BZ378" s="125"/>
      <c r="CA378" s="125"/>
      <c r="CB378" s="125"/>
      <c r="CC378" s="125"/>
      <c r="CD378" s="125"/>
      <c r="CE378" s="125"/>
      <c r="CF378" s="125"/>
      <c r="CG378" s="125"/>
      <c r="CH378" s="125"/>
      <c r="CI378" s="125"/>
      <c r="CJ378" s="125"/>
      <c r="CK378" s="125"/>
      <c r="CL378" s="125"/>
      <c r="CM378" s="125"/>
      <c r="CN378" s="125"/>
      <c r="CO378" s="125"/>
      <c r="CP378" s="125"/>
      <c r="CQ378" s="125"/>
      <c r="CR378" s="125"/>
      <c r="CS378" s="125"/>
      <c r="CT378" s="125"/>
      <c r="CU378" s="125"/>
      <c r="CV378" s="125"/>
      <c r="CW378" s="125"/>
      <c r="CX378" s="125"/>
      <c r="CY378" s="125"/>
      <c r="CZ378" s="125"/>
      <c r="DA378" s="125"/>
      <c r="DB378" s="125"/>
      <c r="DC378" s="125"/>
      <c r="DD378" s="125"/>
      <c r="DE378" s="125"/>
      <c r="DF378" s="125"/>
      <c r="DG378" s="125"/>
      <c r="DH378" s="125"/>
      <c r="DI378" s="125"/>
      <c r="DJ378" s="125"/>
      <c r="DK378" s="125"/>
      <c r="DL378" s="125"/>
      <c r="DM378" s="125"/>
      <c r="DN378" s="125"/>
      <c r="DO378" s="125"/>
      <c r="DP378" s="125"/>
      <c r="DQ378" s="125"/>
      <c r="DR378" s="125"/>
      <c r="DS378" s="125"/>
      <c r="DT378" s="125"/>
      <c r="DU378" s="125"/>
      <c r="DV378" s="125"/>
      <c r="DW378" s="125"/>
      <c r="DX378" s="125"/>
      <c r="DY378" s="125"/>
      <c r="DZ378" s="125"/>
      <c r="EA378" s="125"/>
      <c r="EB378" s="125"/>
      <c r="EC378" s="125"/>
      <c r="ED378" s="125"/>
      <c r="EE378" s="125"/>
      <c r="EF378" s="125"/>
      <c r="EG378" s="125"/>
      <c r="EH378" s="125"/>
      <c r="EI378" s="125"/>
      <c r="EJ378" s="125"/>
      <c r="EK378" s="125"/>
      <c r="EL378" s="125"/>
      <c r="EM378" s="125"/>
      <c r="EN378" s="125"/>
      <c r="EO378" s="125"/>
      <c r="EP378" s="125"/>
      <c r="EQ378" s="125"/>
      <c r="ER378" s="125"/>
      <c r="ES378" s="125"/>
      <c r="ET378" s="125"/>
      <c r="EU378" s="125">
        <f>'O duodécuplo'!$F$97*$D378*$B378</f>
        <v>86.64225920944574</v>
      </c>
      <c r="EV378" s="125">
        <f t="shared" si="420"/>
        <v>16.763272218689849</v>
      </c>
      <c r="EW378" s="125">
        <f t="shared" si="421"/>
        <v>103.40553142813559</v>
      </c>
    </row>
    <row r="379" spans="2:153" s="38" customFormat="1" ht="15.95" customHeight="1" x14ac:dyDescent="0.25">
      <c r="B379" s="98">
        <f t="shared" si="422"/>
        <v>13</v>
      </c>
      <c r="C379" s="125">
        <f t="shared" si="423"/>
        <v>331.89250191718025</v>
      </c>
      <c r="D379" s="125">
        <f t="shared" si="424"/>
        <v>221.48795123017123</v>
      </c>
      <c r="E379" s="125">
        <f t="shared" si="417"/>
        <v>110.40455068700902</v>
      </c>
      <c r="F379" s="140">
        <f t="shared" si="418"/>
        <v>0.49846752418724638</v>
      </c>
      <c r="G379" s="125">
        <v>0</v>
      </c>
      <c r="H379" s="125">
        <f t="shared" si="425"/>
        <v>6.9990192588734113</v>
      </c>
      <c r="I379" s="125">
        <v>0</v>
      </c>
      <c r="J379" s="125">
        <f t="shared" si="419"/>
        <v>6.9990192588734113</v>
      </c>
      <c r="K379" s="125">
        <f t="shared" si="426"/>
        <v>6.9990192588734113</v>
      </c>
      <c r="L379" s="125">
        <f t="shared" si="428"/>
        <v>6.9990192588734113</v>
      </c>
      <c r="M379" s="125">
        <f t="shared" si="429"/>
        <v>0.22116900858039981</v>
      </c>
      <c r="N379" s="125">
        <f t="shared" si="427"/>
        <v>7.2201882674538114</v>
      </c>
      <c r="O379" s="125">
        <f t="shared" si="430"/>
        <v>14.219207526327223</v>
      </c>
      <c r="P379" s="125">
        <f t="shared" si="432"/>
        <v>6.9990192588734113</v>
      </c>
      <c r="Q379" s="125">
        <f t="shared" si="433"/>
        <v>0.44932695783194027</v>
      </c>
      <c r="R379" s="125">
        <f t="shared" si="431"/>
        <v>7.4483462167053514</v>
      </c>
      <c r="S379" s="125">
        <f t="shared" si="434"/>
        <v>21.667553743032574</v>
      </c>
      <c r="T379" s="125">
        <f t="shared" si="436"/>
        <v>6.9990192588734113</v>
      </c>
      <c r="U379" s="125">
        <f t="shared" si="437"/>
        <v>0.68469469827982943</v>
      </c>
      <c r="V379" s="125">
        <f t="shared" si="435"/>
        <v>7.6837139571532411</v>
      </c>
      <c r="W379" s="125">
        <f t="shared" si="438"/>
        <v>29.351267700185815</v>
      </c>
      <c r="X379" s="125">
        <f t="shared" si="440"/>
        <v>6.9990192588734113</v>
      </c>
      <c r="Y379" s="125">
        <f t="shared" si="441"/>
        <v>0.92750005932587187</v>
      </c>
      <c r="Z379" s="125">
        <f t="shared" si="439"/>
        <v>7.9265193181992828</v>
      </c>
      <c r="AA379" s="125">
        <f t="shared" si="442"/>
        <v>37.277787018385098</v>
      </c>
      <c r="AB379" s="125">
        <f t="shared" si="444"/>
        <v>6.9990192588734113</v>
      </c>
      <c r="AC379" s="125">
        <f t="shared" si="445"/>
        <v>1.1779780697809692</v>
      </c>
      <c r="AD379" s="125">
        <f t="shared" si="443"/>
        <v>8.1769973286543802</v>
      </c>
      <c r="AE379" s="125">
        <f t="shared" si="446"/>
        <v>45.454784347039478</v>
      </c>
      <c r="AF379" s="125">
        <f t="shared" si="448"/>
        <v>6.9990192588734113</v>
      </c>
      <c r="AG379" s="125">
        <f t="shared" si="449"/>
        <v>1.4363711853664476</v>
      </c>
      <c r="AH379" s="125">
        <f t="shared" si="447"/>
        <v>8.4353904442398591</v>
      </c>
      <c r="AI379" s="125">
        <f t="shared" si="450"/>
        <v>53.890174791279335</v>
      </c>
      <c r="AJ379" s="125">
        <f t="shared" si="452"/>
        <v>6.9990192588734113</v>
      </c>
      <c r="AK379" s="125">
        <f t="shared" si="453"/>
        <v>1.7029295234044273</v>
      </c>
      <c r="AL379" s="125">
        <f t="shared" si="451"/>
        <v>8.7019487822778387</v>
      </c>
      <c r="AM379" s="125">
        <f t="shared" si="454"/>
        <v>62.592123573557174</v>
      </c>
      <c r="AN379" s="125">
        <f t="shared" si="456"/>
        <v>6.9990192588734113</v>
      </c>
      <c r="AO379" s="125">
        <f t="shared" si="457"/>
        <v>1.9779111049244069</v>
      </c>
      <c r="AP379" s="125">
        <f t="shared" si="455"/>
        <v>8.9769303637978179</v>
      </c>
      <c r="AQ379" s="125">
        <f t="shared" si="458"/>
        <v>71.569053937354994</v>
      </c>
      <c r="AR379" s="125">
        <f t="shared" si="460"/>
        <v>6.9990192588734113</v>
      </c>
      <c r="AS379" s="125">
        <f t="shared" si="461"/>
        <v>2.2615821044204178</v>
      </c>
      <c r="AT379" s="125">
        <f t="shared" si="459"/>
        <v>9.26060136329383</v>
      </c>
      <c r="AU379" s="125">
        <f t="shared" si="462"/>
        <v>80.829655300648824</v>
      </c>
      <c r="AV379" s="125">
        <f t="shared" si="464"/>
        <v>6.9990192588734113</v>
      </c>
      <c r="AW379" s="125">
        <f t="shared" si="465"/>
        <v>2.5542171075005031</v>
      </c>
      <c r="AX379" s="125">
        <f t="shared" si="463"/>
        <v>9.5532363663739144</v>
      </c>
      <c r="AY379" s="125">
        <f t="shared" si="466"/>
        <v>90.382891667022747</v>
      </c>
      <c r="AZ379" s="125">
        <f t="shared" ref="AZ379:AZ402" si="468">$E$32*$D379</f>
        <v>6.9990192588734113</v>
      </c>
      <c r="BA379" s="125">
        <f t="shared" ref="BA379:BA402" si="469">$E$32*AY379</f>
        <v>2.856099376677919</v>
      </c>
      <c r="BB379" s="125">
        <f t="shared" si="467"/>
        <v>9.8551186355513298</v>
      </c>
      <c r="BC379" s="125">
        <f t="shared" ref="BC379:BC402" si="470">AY379+AZ379+BA379</f>
        <v>100.23801030257408</v>
      </c>
      <c r="BD379" s="125">
        <f>$E$32*$D379</f>
        <v>6.9990192588734113</v>
      </c>
      <c r="BE379" s="125">
        <f>$E$32*BC379</f>
        <v>3.1675211255613411</v>
      </c>
      <c r="BF379" s="125">
        <f t="shared" ref="BF379:BF402" si="471">BD379+BE379</f>
        <v>10.166540384434752</v>
      </c>
      <c r="BG379" s="125"/>
      <c r="BH379" s="125"/>
      <c r="BI379" s="125"/>
      <c r="BJ379" s="125"/>
      <c r="BK379" s="125"/>
      <c r="BL379" s="125"/>
      <c r="BM379" s="125"/>
      <c r="BN379" s="125"/>
      <c r="BO379" s="125"/>
      <c r="BP379" s="125"/>
      <c r="BQ379" s="125"/>
      <c r="BR379" s="125"/>
      <c r="BS379" s="125"/>
      <c r="BT379" s="125"/>
      <c r="BU379" s="125"/>
      <c r="BV379" s="125"/>
      <c r="BW379" s="125"/>
      <c r="BX379" s="125"/>
      <c r="BY379" s="125"/>
      <c r="BZ379" s="125"/>
      <c r="CA379" s="125"/>
      <c r="CB379" s="125"/>
      <c r="CC379" s="125"/>
      <c r="CD379" s="125"/>
      <c r="CE379" s="125"/>
      <c r="CF379" s="125"/>
      <c r="CG379" s="125"/>
      <c r="CH379" s="125"/>
      <c r="CI379" s="125"/>
      <c r="CJ379" s="125"/>
      <c r="CK379" s="125"/>
      <c r="CL379" s="125"/>
      <c r="CM379" s="125"/>
      <c r="CN379" s="125"/>
      <c r="CO379" s="125"/>
      <c r="CP379" s="125"/>
      <c r="CQ379" s="125"/>
      <c r="CR379" s="125"/>
      <c r="CS379" s="125"/>
      <c r="CT379" s="125"/>
      <c r="CU379" s="125"/>
      <c r="CV379" s="125"/>
      <c r="CW379" s="125"/>
      <c r="CX379" s="125"/>
      <c r="CY379" s="125"/>
      <c r="CZ379" s="125"/>
      <c r="DA379" s="125"/>
      <c r="DB379" s="125"/>
      <c r="DC379" s="125"/>
      <c r="DD379" s="125"/>
      <c r="DE379" s="125"/>
      <c r="DF379" s="125"/>
      <c r="DG379" s="125"/>
      <c r="DH379" s="125"/>
      <c r="DI379" s="125"/>
      <c r="DJ379" s="125"/>
      <c r="DK379" s="125"/>
      <c r="DL379" s="125"/>
      <c r="DM379" s="125"/>
      <c r="DN379" s="125"/>
      <c r="DO379" s="125"/>
      <c r="DP379" s="125"/>
      <c r="DQ379" s="125"/>
      <c r="DR379" s="125"/>
      <c r="DS379" s="125"/>
      <c r="DT379" s="125"/>
      <c r="DU379" s="125"/>
      <c r="DV379" s="125"/>
      <c r="DW379" s="125"/>
      <c r="DX379" s="125"/>
      <c r="DY379" s="125"/>
      <c r="DZ379" s="125"/>
      <c r="EA379" s="125"/>
      <c r="EB379" s="125"/>
      <c r="EC379" s="125"/>
      <c r="ED379" s="125"/>
      <c r="EE379" s="125"/>
      <c r="EF379" s="125"/>
      <c r="EG379" s="125"/>
      <c r="EH379" s="125"/>
      <c r="EI379" s="125"/>
      <c r="EJ379" s="125"/>
      <c r="EK379" s="125"/>
      <c r="EL379" s="125"/>
      <c r="EM379" s="125"/>
      <c r="EN379" s="125"/>
      <c r="EO379" s="125"/>
      <c r="EP379" s="125"/>
      <c r="EQ379" s="125"/>
      <c r="ER379" s="125"/>
      <c r="ES379" s="125"/>
      <c r="ET379" s="125"/>
      <c r="EU379" s="125">
        <f>'O duodécuplo'!$F$97*$D379*$B379</f>
        <v>90.987250365354342</v>
      </c>
      <c r="EV379" s="125">
        <f t="shared" si="420"/>
        <v>19.417300321654679</v>
      </c>
      <c r="EW379" s="125">
        <f t="shared" si="421"/>
        <v>110.40455068700902</v>
      </c>
    </row>
    <row r="380" spans="2:153" s="38" customFormat="1" ht="15.95" customHeight="1" x14ac:dyDescent="0.25">
      <c r="B380" s="98">
        <f t="shared" si="422"/>
        <v>14</v>
      </c>
      <c r="C380" s="125">
        <f t="shared" si="423"/>
        <v>331.89250191718025</v>
      </c>
      <c r="D380" s="125">
        <f t="shared" si="424"/>
        <v>214.70332612463284</v>
      </c>
      <c r="E380" s="125">
        <f t="shared" si="417"/>
        <v>117.18917579254742</v>
      </c>
      <c r="F380" s="140">
        <f t="shared" si="418"/>
        <v>0.54581909795156336</v>
      </c>
      <c r="G380" s="125">
        <v>0</v>
      </c>
      <c r="H380" s="125">
        <f t="shared" si="425"/>
        <v>6.7846251055383986</v>
      </c>
      <c r="I380" s="125">
        <v>0</v>
      </c>
      <c r="J380" s="125">
        <f t="shared" si="419"/>
        <v>6.7846251055383986</v>
      </c>
      <c r="K380" s="125">
        <f t="shared" si="426"/>
        <v>6.7846251055383986</v>
      </c>
      <c r="L380" s="125">
        <f t="shared" si="428"/>
        <v>6.7846251055383986</v>
      </c>
      <c r="M380" s="125">
        <f t="shared" si="429"/>
        <v>0.21439415333501341</v>
      </c>
      <c r="N380" s="125">
        <f t="shared" si="427"/>
        <v>6.9990192588734121</v>
      </c>
      <c r="O380" s="125">
        <f t="shared" si="430"/>
        <v>13.78364436441181</v>
      </c>
      <c r="P380" s="125">
        <f t="shared" si="432"/>
        <v>6.7846251055383986</v>
      </c>
      <c r="Q380" s="125">
        <f t="shared" si="433"/>
        <v>0.43556316191541322</v>
      </c>
      <c r="R380" s="125">
        <f t="shared" si="431"/>
        <v>7.2201882674538123</v>
      </c>
      <c r="S380" s="125">
        <f t="shared" si="434"/>
        <v>21.003832631865624</v>
      </c>
      <c r="T380" s="125">
        <f t="shared" si="436"/>
        <v>6.7846251055383986</v>
      </c>
      <c r="U380" s="125">
        <f t="shared" si="437"/>
        <v>0.66372111116695376</v>
      </c>
      <c r="V380" s="125">
        <f t="shared" si="435"/>
        <v>7.4483462167053522</v>
      </c>
      <c r="W380" s="125">
        <f t="shared" si="438"/>
        <v>28.452178848570977</v>
      </c>
      <c r="X380" s="125">
        <f t="shared" si="440"/>
        <v>6.7846251055383986</v>
      </c>
      <c r="Y380" s="125">
        <f t="shared" si="441"/>
        <v>0.89908885161484298</v>
      </c>
      <c r="Z380" s="125">
        <f t="shared" si="439"/>
        <v>7.6837139571532411</v>
      </c>
      <c r="AA380" s="125">
        <f t="shared" si="442"/>
        <v>36.135892805724218</v>
      </c>
      <c r="AB380" s="125">
        <f t="shared" si="444"/>
        <v>6.7846251055383986</v>
      </c>
      <c r="AC380" s="125">
        <f t="shared" si="445"/>
        <v>1.1418942126608853</v>
      </c>
      <c r="AD380" s="125">
        <f t="shared" si="443"/>
        <v>7.9265193181992837</v>
      </c>
      <c r="AE380" s="125">
        <f t="shared" si="446"/>
        <v>44.062412123923501</v>
      </c>
      <c r="AF380" s="125">
        <f t="shared" si="448"/>
        <v>6.7846251055383986</v>
      </c>
      <c r="AG380" s="125">
        <f t="shared" si="449"/>
        <v>1.3923722231159827</v>
      </c>
      <c r="AH380" s="125">
        <f t="shared" si="447"/>
        <v>8.176997328654382</v>
      </c>
      <c r="AI380" s="125">
        <f t="shared" si="450"/>
        <v>52.239409452577881</v>
      </c>
      <c r="AJ380" s="125">
        <f t="shared" si="452"/>
        <v>6.7846251055383986</v>
      </c>
      <c r="AK380" s="125">
        <f t="shared" si="453"/>
        <v>1.6507653387014611</v>
      </c>
      <c r="AL380" s="125">
        <f t="shared" si="451"/>
        <v>8.4353904442398591</v>
      </c>
      <c r="AM380" s="125">
        <f t="shared" si="454"/>
        <v>60.674799896817738</v>
      </c>
      <c r="AN380" s="125">
        <f t="shared" si="456"/>
        <v>6.7846251055383986</v>
      </c>
      <c r="AO380" s="125">
        <f t="shared" si="457"/>
        <v>1.9173236767394408</v>
      </c>
      <c r="AP380" s="125">
        <f t="shared" si="455"/>
        <v>8.7019487822778387</v>
      </c>
      <c r="AQ380" s="125">
        <f t="shared" si="458"/>
        <v>69.376748679095584</v>
      </c>
      <c r="AR380" s="125">
        <f t="shared" si="460"/>
        <v>6.7846251055383986</v>
      </c>
      <c r="AS380" s="125">
        <f t="shared" si="461"/>
        <v>2.1923052582594207</v>
      </c>
      <c r="AT380" s="125">
        <f t="shared" si="459"/>
        <v>8.9769303637978197</v>
      </c>
      <c r="AU380" s="125">
        <f t="shared" si="462"/>
        <v>78.353679042893404</v>
      </c>
      <c r="AV380" s="125">
        <f t="shared" si="464"/>
        <v>6.7846251055383986</v>
      </c>
      <c r="AW380" s="125">
        <f t="shared" si="465"/>
        <v>2.4759762577554318</v>
      </c>
      <c r="AX380" s="125">
        <f t="shared" si="463"/>
        <v>9.26060136329383</v>
      </c>
      <c r="AY380" s="125">
        <f t="shared" si="466"/>
        <v>87.614280406187234</v>
      </c>
      <c r="AZ380" s="125">
        <f t="shared" si="468"/>
        <v>6.7846251055383986</v>
      </c>
      <c r="BA380" s="125">
        <f t="shared" si="469"/>
        <v>2.7686112608355167</v>
      </c>
      <c r="BB380" s="125">
        <f t="shared" si="467"/>
        <v>9.5532363663739162</v>
      </c>
      <c r="BC380" s="125">
        <f t="shared" si="470"/>
        <v>97.167516772561143</v>
      </c>
      <c r="BD380" s="125">
        <f t="shared" ref="BD380:BD402" si="472">$E$32*$D380</f>
        <v>6.7846251055383986</v>
      </c>
      <c r="BE380" s="125">
        <f t="shared" ref="BE380:BE402" si="473">$E$32*BC380</f>
        <v>3.0704935300129326</v>
      </c>
      <c r="BF380" s="125">
        <f t="shared" si="471"/>
        <v>9.8551186355513316</v>
      </c>
      <c r="BG380" s="125">
        <f t="shared" ref="BG380:BG402" si="474">BC380+BD380+BE380</f>
        <v>107.02263540811248</v>
      </c>
      <c r="BH380" s="125">
        <f>$E$32*$D380</f>
        <v>6.7846251055383986</v>
      </c>
      <c r="BI380" s="125">
        <f>$E$32*BG380</f>
        <v>3.3819152788963547</v>
      </c>
      <c r="BJ380" s="125">
        <f t="shared" ref="BJ380:BJ402" si="475">BH380+BI380</f>
        <v>10.166540384434754</v>
      </c>
      <c r="BK380" s="125"/>
      <c r="BL380" s="125"/>
      <c r="BM380" s="125"/>
      <c r="BN380" s="125"/>
      <c r="BO380" s="125"/>
      <c r="BP380" s="125"/>
      <c r="BQ380" s="125"/>
      <c r="BR380" s="125"/>
      <c r="BS380" s="125"/>
      <c r="BT380" s="125"/>
      <c r="BU380" s="125"/>
      <c r="BV380" s="125"/>
      <c r="BW380" s="125"/>
      <c r="BX380" s="125"/>
      <c r="BY380" s="125"/>
      <c r="BZ380" s="125"/>
      <c r="CA380" s="125"/>
      <c r="CB380" s="125"/>
      <c r="CC380" s="125"/>
      <c r="CD380" s="125"/>
      <c r="CE380" s="125"/>
      <c r="CF380" s="125"/>
      <c r="CG380" s="125"/>
      <c r="CH380" s="125"/>
      <c r="CI380" s="125"/>
      <c r="CJ380" s="125"/>
      <c r="CK380" s="125"/>
      <c r="CL380" s="125"/>
      <c r="CM380" s="125"/>
      <c r="CN380" s="125"/>
      <c r="CO380" s="125"/>
      <c r="CP380" s="125"/>
      <c r="CQ380" s="125"/>
      <c r="CR380" s="125"/>
      <c r="CS380" s="125"/>
      <c r="CT380" s="125"/>
      <c r="CU380" s="125"/>
      <c r="CV380" s="125"/>
      <c r="CW380" s="125"/>
      <c r="CX380" s="125"/>
      <c r="CY380" s="125"/>
      <c r="CZ380" s="125"/>
      <c r="DA380" s="125"/>
      <c r="DB380" s="125"/>
      <c r="DC380" s="125"/>
      <c r="DD380" s="125"/>
      <c r="DE380" s="125"/>
      <c r="DF380" s="125"/>
      <c r="DG380" s="125"/>
      <c r="DH380" s="125"/>
      <c r="DI380" s="125"/>
      <c r="DJ380" s="125"/>
      <c r="DK380" s="125"/>
      <c r="DL380" s="125"/>
      <c r="DM380" s="125"/>
      <c r="DN380" s="125"/>
      <c r="DO380" s="125"/>
      <c r="DP380" s="125"/>
      <c r="DQ380" s="125"/>
      <c r="DR380" s="125"/>
      <c r="DS380" s="125"/>
      <c r="DT380" s="125"/>
      <c r="DU380" s="125"/>
      <c r="DV380" s="125"/>
      <c r="DW380" s="125"/>
      <c r="DX380" s="125"/>
      <c r="DY380" s="125"/>
      <c r="DZ380" s="125"/>
      <c r="EA380" s="125"/>
      <c r="EB380" s="125"/>
      <c r="EC380" s="125"/>
      <c r="ED380" s="125"/>
      <c r="EE380" s="125"/>
      <c r="EF380" s="125"/>
      <c r="EG380" s="125"/>
      <c r="EH380" s="125"/>
      <c r="EI380" s="125"/>
      <c r="EJ380" s="125"/>
      <c r="EK380" s="125"/>
      <c r="EL380" s="125"/>
      <c r="EM380" s="125"/>
      <c r="EN380" s="125"/>
      <c r="EO380" s="125"/>
      <c r="EP380" s="125"/>
      <c r="EQ380" s="125"/>
      <c r="ER380" s="125"/>
      <c r="ES380" s="125"/>
      <c r="ET380" s="125"/>
      <c r="EU380" s="125">
        <f>'O duodécuplo'!$F$97*$D380*$B380</f>
        <v>94.984751477537586</v>
      </c>
      <c r="EV380" s="125">
        <f t="shared" si="420"/>
        <v>22.204424315009831</v>
      </c>
      <c r="EW380" s="125">
        <f t="shared" si="421"/>
        <v>117.18917579254742</v>
      </c>
    </row>
    <row r="381" spans="2:153" s="38" customFormat="1" ht="15.95" customHeight="1" x14ac:dyDescent="0.25">
      <c r="B381" s="98">
        <f t="shared" si="422"/>
        <v>15</v>
      </c>
      <c r="C381" s="125">
        <f t="shared" si="423"/>
        <v>331.89250191718025</v>
      </c>
      <c r="D381" s="125">
        <f t="shared" si="424"/>
        <v>208.12652784473903</v>
      </c>
      <c r="E381" s="125">
        <f t="shared" si="417"/>
        <v>123.76597407244122</v>
      </c>
      <c r="F381" s="140">
        <f t="shared" si="418"/>
        <v>0.59466698144683316</v>
      </c>
      <c r="G381" s="125">
        <v>0</v>
      </c>
      <c r="H381" s="125">
        <f t="shared" si="425"/>
        <v>6.5767982798937537</v>
      </c>
      <c r="I381" s="125">
        <v>0</v>
      </c>
      <c r="J381" s="125">
        <f t="shared" si="419"/>
        <v>6.5767982798937537</v>
      </c>
      <c r="K381" s="125">
        <f t="shared" si="426"/>
        <v>6.5767982798937537</v>
      </c>
      <c r="L381" s="125">
        <f t="shared" si="428"/>
        <v>6.5767982798937537</v>
      </c>
      <c r="M381" s="125">
        <f t="shared" si="429"/>
        <v>0.20782682564464264</v>
      </c>
      <c r="N381" s="125">
        <f t="shared" si="427"/>
        <v>6.7846251055383959</v>
      </c>
      <c r="O381" s="125">
        <f t="shared" si="430"/>
        <v>13.36142338543215</v>
      </c>
      <c r="P381" s="125">
        <f t="shared" si="432"/>
        <v>6.5767982798937537</v>
      </c>
      <c r="Q381" s="125">
        <f t="shared" si="433"/>
        <v>0.42222097897965599</v>
      </c>
      <c r="R381" s="125">
        <f t="shared" si="431"/>
        <v>6.9990192588734095</v>
      </c>
      <c r="S381" s="125">
        <f t="shared" si="434"/>
        <v>20.360442644305561</v>
      </c>
      <c r="T381" s="125">
        <f t="shared" si="436"/>
        <v>6.5767982798937537</v>
      </c>
      <c r="U381" s="125">
        <f t="shared" si="437"/>
        <v>0.64338998756005583</v>
      </c>
      <c r="V381" s="125">
        <f t="shared" si="435"/>
        <v>7.2201882674538096</v>
      </c>
      <c r="W381" s="125">
        <f t="shared" si="438"/>
        <v>27.580630911759371</v>
      </c>
      <c r="X381" s="125">
        <f t="shared" si="440"/>
        <v>6.5767982798937537</v>
      </c>
      <c r="Y381" s="125">
        <f t="shared" si="441"/>
        <v>0.87154793681159626</v>
      </c>
      <c r="Z381" s="125">
        <f t="shared" si="439"/>
        <v>7.4483462167053496</v>
      </c>
      <c r="AA381" s="125">
        <f t="shared" si="442"/>
        <v>35.028977128464717</v>
      </c>
      <c r="AB381" s="125">
        <f t="shared" si="444"/>
        <v>6.5767982798937537</v>
      </c>
      <c r="AC381" s="125">
        <f t="shared" si="445"/>
        <v>1.1069156772594853</v>
      </c>
      <c r="AD381" s="125">
        <f t="shared" si="443"/>
        <v>7.6837139571532393</v>
      </c>
      <c r="AE381" s="125">
        <f t="shared" si="446"/>
        <v>42.712691085617955</v>
      </c>
      <c r="AF381" s="125">
        <f t="shared" si="448"/>
        <v>6.5767982798937537</v>
      </c>
      <c r="AG381" s="125">
        <f t="shared" si="449"/>
        <v>1.3497210383055276</v>
      </c>
      <c r="AH381" s="125">
        <f t="shared" si="447"/>
        <v>7.926519318199281</v>
      </c>
      <c r="AI381" s="125">
        <f t="shared" si="450"/>
        <v>50.639210403817231</v>
      </c>
      <c r="AJ381" s="125">
        <f t="shared" si="452"/>
        <v>6.5767982798937537</v>
      </c>
      <c r="AK381" s="125">
        <f t="shared" si="453"/>
        <v>1.6001990487606246</v>
      </c>
      <c r="AL381" s="125">
        <f t="shared" si="451"/>
        <v>8.1769973286543784</v>
      </c>
      <c r="AM381" s="125">
        <f t="shared" si="454"/>
        <v>58.816207732471604</v>
      </c>
      <c r="AN381" s="125">
        <f t="shared" si="456"/>
        <v>6.5767982798937537</v>
      </c>
      <c r="AO381" s="125">
        <f t="shared" si="457"/>
        <v>1.8585921643461027</v>
      </c>
      <c r="AP381" s="125">
        <f t="shared" si="455"/>
        <v>8.4353904442398573</v>
      </c>
      <c r="AQ381" s="125">
        <f t="shared" si="458"/>
        <v>67.251598176711468</v>
      </c>
      <c r="AR381" s="125">
        <f t="shared" si="460"/>
        <v>6.5767982798937537</v>
      </c>
      <c r="AS381" s="125">
        <f t="shared" si="461"/>
        <v>2.1251505023840824</v>
      </c>
      <c r="AT381" s="125">
        <f t="shared" si="459"/>
        <v>8.7019487822778352</v>
      </c>
      <c r="AU381" s="125">
        <f t="shared" si="462"/>
        <v>75.953546958989307</v>
      </c>
      <c r="AV381" s="125">
        <f t="shared" si="464"/>
        <v>6.5767982798937537</v>
      </c>
      <c r="AW381" s="125">
        <f t="shared" si="465"/>
        <v>2.4001320839040625</v>
      </c>
      <c r="AX381" s="125">
        <f t="shared" si="463"/>
        <v>8.9769303637978162</v>
      </c>
      <c r="AY381" s="125">
        <f t="shared" si="466"/>
        <v>84.930477322787127</v>
      </c>
      <c r="AZ381" s="125">
        <f t="shared" si="468"/>
        <v>6.5767982798937537</v>
      </c>
      <c r="BA381" s="125">
        <f t="shared" si="469"/>
        <v>2.6838030834000737</v>
      </c>
      <c r="BB381" s="125">
        <f t="shared" si="467"/>
        <v>9.2606013632938264</v>
      </c>
      <c r="BC381" s="125">
        <f t="shared" si="470"/>
        <v>94.191078686080957</v>
      </c>
      <c r="BD381" s="125">
        <f t="shared" si="472"/>
        <v>6.5767982798937537</v>
      </c>
      <c r="BE381" s="125">
        <f t="shared" si="473"/>
        <v>2.9764380864801585</v>
      </c>
      <c r="BF381" s="125">
        <f t="shared" si="471"/>
        <v>9.5532363663739126</v>
      </c>
      <c r="BG381" s="125">
        <f t="shared" si="474"/>
        <v>103.74431505245487</v>
      </c>
      <c r="BH381" s="125">
        <f t="shared" ref="BH381:BH402" si="476">$E$32*$D381</f>
        <v>6.5767982798937537</v>
      </c>
      <c r="BI381" s="125">
        <f t="shared" ref="BI381:BI402" si="477">$E$32*BG381</f>
        <v>3.278320355657574</v>
      </c>
      <c r="BJ381" s="125">
        <f t="shared" si="475"/>
        <v>9.8551186355513281</v>
      </c>
      <c r="BK381" s="125">
        <f t="shared" ref="BK381:BK402" si="478">BG381+BH381+BI381</f>
        <v>113.59943368800619</v>
      </c>
      <c r="BL381" s="125">
        <f>$E$32*$D381</f>
        <v>6.5767982798937537</v>
      </c>
      <c r="BM381" s="125">
        <f>$E$32*BK381</f>
        <v>3.5897421045409956</v>
      </c>
      <c r="BN381" s="125">
        <f t="shared" ref="BN381:BN402" si="479">BL381+BM381</f>
        <v>10.16654038443475</v>
      </c>
      <c r="BO381" s="125"/>
      <c r="BP381" s="125"/>
      <c r="BQ381" s="125"/>
      <c r="BR381" s="125"/>
      <c r="BS381" s="125"/>
      <c r="BT381" s="125"/>
      <c r="BU381" s="125"/>
      <c r="BV381" s="125"/>
      <c r="BW381" s="125"/>
      <c r="BX381" s="125"/>
      <c r="BY381" s="125"/>
      <c r="BZ381" s="125"/>
      <c r="CA381" s="125"/>
      <c r="CB381" s="125"/>
      <c r="CC381" s="125"/>
      <c r="CD381" s="125"/>
      <c r="CE381" s="125"/>
      <c r="CF381" s="125"/>
      <c r="CG381" s="125"/>
      <c r="CH381" s="125"/>
      <c r="CI381" s="125"/>
      <c r="CJ381" s="125"/>
      <c r="CK381" s="125"/>
      <c r="CL381" s="125"/>
      <c r="CM381" s="125"/>
      <c r="CN381" s="125"/>
      <c r="CO381" s="125"/>
      <c r="CP381" s="125"/>
      <c r="CQ381" s="125"/>
      <c r="CR381" s="125"/>
      <c r="CS381" s="125"/>
      <c r="CT381" s="125"/>
      <c r="CU381" s="125"/>
      <c r="CV381" s="125"/>
      <c r="CW381" s="125"/>
      <c r="CX381" s="125"/>
      <c r="CY381" s="125"/>
      <c r="CZ381" s="125"/>
      <c r="DA381" s="125"/>
      <c r="DB381" s="125"/>
      <c r="DC381" s="125"/>
      <c r="DD381" s="125"/>
      <c r="DE381" s="125"/>
      <c r="DF381" s="125"/>
      <c r="DG381" s="125"/>
      <c r="DH381" s="125"/>
      <c r="DI381" s="125"/>
      <c r="DJ381" s="125"/>
      <c r="DK381" s="125"/>
      <c r="DL381" s="125"/>
      <c r="DM381" s="125"/>
      <c r="DN381" s="125"/>
      <c r="DO381" s="125"/>
      <c r="DP381" s="125"/>
      <c r="DQ381" s="125"/>
      <c r="DR381" s="125"/>
      <c r="DS381" s="125"/>
      <c r="DT381" s="125"/>
      <c r="DU381" s="125"/>
      <c r="DV381" s="125"/>
      <c r="DW381" s="125"/>
      <c r="DX381" s="125"/>
      <c r="DY381" s="125"/>
      <c r="DZ381" s="125"/>
      <c r="EA381" s="125"/>
      <c r="EB381" s="125"/>
      <c r="EC381" s="125"/>
      <c r="ED381" s="125"/>
      <c r="EE381" s="125"/>
      <c r="EF381" s="125"/>
      <c r="EG381" s="125"/>
      <c r="EH381" s="125"/>
      <c r="EI381" s="125"/>
      <c r="EJ381" s="125"/>
      <c r="EK381" s="125"/>
      <c r="EL381" s="125"/>
      <c r="EM381" s="125"/>
      <c r="EN381" s="125"/>
      <c r="EO381" s="125"/>
      <c r="EP381" s="125"/>
      <c r="EQ381" s="125"/>
      <c r="ER381" s="125"/>
      <c r="ES381" s="125"/>
      <c r="ET381" s="125"/>
      <c r="EU381" s="125">
        <f>'O duodécuplo'!$F$97*$D381*$B381</f>
        <v>98.651974198406307</v>
      </c>
      <c r="EV381" s="125">
        <f t="shared" si="420"/>
        <v>25.113999874034917</v>
      </c>
      <c r="EW381" s="125">
        <f t="shared" si="421"/>
        <v>123.76597407244122</v>
      </c>
    </row>
    <row r="382" spans="2:153" s="38" customFormat="1" ht="15.95" customHeight="1" x14ac:dyDescent="0.25">
      <c r="B382" s="98">
        <f t="shared" si="422"/>
        <v>16</v>
      </c>
      <c r="C382" s="125">
        <f t="shared" si="423"/>
        <v>331.89250191718025</v>
      </c>
      <c r="D382" s="125">
        <f t="shared" si="424"/>
        <v>201.75119023336472</v>
      </c>
      <c r="E382" s="125">
        <f t="shared" si="417"/>
        <v>130.14131168381553</v>
      </c>
      <c r="F382" s="140">
        <f t="shared" si="418"/>
        <v>0.64505845806055295</v>
      </c>
      <c r="G382" s="125">
        <v>0</v>
      </c>
      <c r="H382" s="125">
        <f t="shared" si="425"/>
        <v>6.3753376113743263</v>
      </c>
      <c r="I382" s="125">
        <v>0</v>
      </c>
      <c r="J382" s="125">
        <f t="shared" si="419"/>
        <v>6.3753376113743263</v>
      </c>
      <c r="K382" s="125">
        <f t="shared" si="426"/>
        <v>6.3753376113743263</v>
      </c>
      <c r="L382" s="125">
        <f t="shared" si="428"/>
        <v>6.3753376113743263</v>
      </c>
      <c r="M382" s="125">
        <f t="shared" si="429"/>
        <v>0.20146066851942873</v>
      </c>
      <c r="N382" s="125">
        <f t="shared" si="427"/>
        <v>6.5767982798937554</v>
      </c>
      <c r="O382" s="125">
        <f t="shared" si="430"/>
        <v>12.952135891268082</v>
      </c>
      <c r="P382" s="125">
        <f t="shared" si="432"/>
        <v>6.3753376113743263</v>
      </c>
      <c r="Q382" s="125">
        <f t="shared" si="433"/>
        <v>0.4092874941640714</v>
      </c>
      <c r="R382" s="125">
        <f t="shared" si="431"/>
        <v>6.7846251055383977</v>
      </c>
      <c r="S382" s="125">
        <f t="shared" si="434"/>
        <v>19.736760996806481</v>
      </c>
      <c r="T382" s="125">
        <f t="shared" si="436"/>
        <v>6.3753376113743263</v>
      </c>
      <c r="U382" s="125">
        <f t="shared" si="437"/>
        <v>0.62368164749908483</v>
      </c>
      <c r="V382" s="125">
        <f t="shared" si="435"/>
        <v>6.9990192588734113</v>
      </c>
      <c r="W382" s="125">
        <f t="shared" si="438"/>
        <v>26.735780255679892</v>
      </c>
      <c r="X382" s="125">
        <f t="shared" si="440"/>
        <v>6.3753376113743263</v>
      </c>
      <c r="Y382" s="125">
        <f t="shared" si="441"/>
        <v>0.84485065607948462</v>
      </c>
      <c r="Z382" s="125">
        <f t="shared" si="439"/>
        <v>7.2201882674538105</v>
      </c>
      <c r="AA382" s="125">
        <f t="shared" si="442"/>
        <v>33.955968523133706</v>
      </c>
      <c r="AB382" s="125">
        <f t="shared" si="444"/>
        <v>6.3753376113743263</v>
      </c>
      <c r="AC382" s="125">
        <f t="shared" si="445"/>
        <v>1.0730086053310253</v>
      </c>
      <c r="AD382" s="125">
        <f t="shared" si="443"/>
        <v>7.4483462167053514</v>
      </c>
      <c r="AE382" s="125">
        <f t="shared" si="446"/>
        <v>41.404314739839059</v>
      </c>
      <c r="AF382" s="125">
        <f t="shared" si="448"/>
        <v>6.3753376113743263</v>
      </c>
      <c r="AG382" s="125">
        <f t="shared" si="449"/>
        <v>1.3083763457789144</v>
      </c>
      <c r="AH382" s="125">
        <f t="shared" si="447"/>
        <v>7.6837139571532411</v>
      </c>
      <c r="AI382" s="125">
        <f t="shared" si="450"/>
        <v>49.088028696992303</v>
      </c>
      <c r="AJ382" s="125">
        <f t="shared" si="452"/>
        <v>6.3753376113743263</v>
      </c>
      <c r="AK382" s="125">
        <f t="shared" si="453"/>
        <v>1.5511817068249569</v>
      </c>
      <c r="AL382" s="125">
        <f t="shared" si="451"/>
        <v>7.9265193181992828</v>
      </c>
      <c r="AM382" s="125">
        <f t="shared" si="454"/>
        <v>57.014548015191586</v>
      </c>
      <c r="AN382" s="125">
        <f t="shared" si="456"/>
        <v>6.3753376113743263</v>
      </c>
      <c r="AO382" s="125">
        <f t="shared" si="457"/>
        <v>1.8016597172800544</v>
      </c>
      <c r="AP382" s="125">
        <f t="shared" si="455"/>
        <v>8.1769973286543802</v>
      </c>
      <c r="AQ382" s="125">
        <f t="shared" si="458"/>
        <v>65.191545343845974</v>
      </c>
      <c r="AR382" s="125">
        <f t="shared" si="460"/>
        <v>6.3753376113743263</v>
      </c>
      <c r="AS382" s="125">
        <f t="shared" si="461"/>
        <v>2.0600528328655328</v>
      </c>
      <c r="AT382" s="125">
        <f t="shared" si="459"/>
        <v>8.4353904442398591</v>
      </c>
      <c r="AU382" s="125">
        <f t="shared" si="462"/>
        <v>73.626935788085831</v>
      </c>
      <c r="AV382" s="125">
        <f t="shared" si="464"/>
        <v>6.3753376113743263</v>
      </c>
      <c r="AW382" s="125">
        <f t="shared" si="465"/>
        <v>2.3266111709035124</v>
      </c>
      <c r="AX382" s="125">
        <f t="shared" si="463"/>
        <v>8.7019487822778387</v>
      </c>
      <c r="AY382" s="125">
        <f t="shared" si="466"/>
        <v>82.32888457036367</v>
      </c>
      <c r="AZ382" s="125">
        <f t="shared" si="468"/>
        <v>6.3753376113743263</v>
      </c>
      <c r="BA382" s="125">
        <f t="shared" si="469"/>
        <v>2.6015927524234921</v>
      </c>
      <c r="BB382" s="125">
        <f t="shared" si="467"/>
        <v>8.9769303637978179</v>
      </c>
      <c r="BC382" s="125">
        <f t="shared" si="470"/>
        <v>91.305814934161475</v>
      </c>
      <c r="BD382" s="125">
        <f t="shared" si="472"/>
        <v>6.3753376113743263</v>
      </c>
      <c r="BE382" s="125">
        <f t="shared" si="473"/>
        <v>2.8852637519195028</v>
      </c>
      <c r="BF382" s="125">
        <f t="shared" si="471"/>
        <v>9.26060136329383</v>
      </c>
      <c r="BG382" s="125">
        <f t="shared" si="474"/>
        <v>100.56641629745531</v>
      </c>
      <c r="BH382" s="125">
        <f t="shared" si="476"/>
        <v>6.3753376113743263</v>
      </c>
      <c r="BI382" s="125">
        <f t="shared" si="477"/>
        <v>3.1778987549995881</v>
      </c>
      <c r="BJ382" s="125">
        <f t="shared" si="475"/>
        <v>9.5532363663739144</v>
      </c>
      <c r="BK382" s="125">
        <f t="shared" si="478"/>
        <v>110.11965266382921</v>
      </c>
      <c r="BL382" s="125">
        <f t="shared" ref="BL382:BL402" si="480">$E$32*$D382</f>
        <v>6.3753376113743263</v>
      </c>
      <c r="BM382" s="125">
        <f t="shared" ref="BM382:BM402" si="481">$E$32*BK382</f>
        <v>3.4797810241770035</v>
      </c>
      <c r="BN382" s="125">
        <f t="shared" si="479"/>
        <v>9.8551186355513298</v>
      </c>
      <c r="BO382" s="125">
        <f t="shared" ref="BO382:BO402" si="482">BK382+BL382+BM382</f>
        <v>119.97477129938054</v>
      </c>
      <c r="BP382" s="125">
        <f>$E$32*$D382</f>
        <v>6.3753376113743263</v>
      </c>
      <c r="BQ382" s="125">
        <f>$E$32*BO382</f>
        <v>3.7912027730604252</v>
      </c>
      <c r="BR382" s="125">
        <f t="shared" ref="BR382:BR402" si="483">BP382+BQ382</f>
        <v>10.166540384434752</v>
      </c>
      <c r="BS382" s="125"/>
      <c r="BT382" s="125"/>
      <c r="BU382" s="125"/>
      <c r="BV382" s="125"/>
      <c r="BW382" s="125"/>
      <c r="BX382" s="125"/>
      <c r="BY382" s="125"/>
      <c r="BZ382" s="125"/>
      <c r="CA382" s="125"/>
      <c r="CB382" s="125"/>
      <c r="CC382" s="125"/>
      <c r="CD382" s="125"/>
      <c r="CE382" s="125"/>
      <c r="CF382" s="125"/>
      <c r="CG382" s="125"/>
      <c r="CH382" s="125"/>
      <c r="CI382" s="125"/>
      <c r="CJ382" s="125"/>
      <c r="CK382" s="125"/>
      <c r="CL382" s="125"/>
      <c r="CM382" s="125"/>
      <c r="CN382" s="125"/>
      <c r="CO382" s="125"/>
      <c r="CP382" s="125"/>
      <c r="CQ382" s="125"/>
      <c r="CR382" s="125"/>
      <c r="CS382" s="125"/>
      <c r="CT382" s="125"/>
      <c r="CU382" s="125"/>
      <c r="CV382" s="125"/>
      <c r="CW382" s="125"/>
      <c r="CX382" s="125"/>
      <c r="CY382" s="125"/>
      <c r="CZ382" s="125"/>
      <c r="DA382" s="125"/>
      <c r="DB382" s="125"/>
      <c r="DC382" s="125"/>
      <c r="DD382" s="125"/>
      <c r="DE382" s="125"/>
      <c r="DF382" s="125"/>
      <c r="DG382" s="125"/>
      <c r="DH382" s="125"/>
      <c r="DI382" s="125"/>
      <c r="DJ382" s="125"/>
      <c r="DK382" s="125"/>
      <c r="DL382" s="125"/>
      <c r="DM382" s="125"/>
      <c r="DN382" s="125"/>
      <c r="DO382" s="125"/>
      <c r="DP382" s="125"/>
      <c r="DQ382" s="125"/>
      <c r="DR382" s="125"/>
      <c r="DS382" s="125"/>
      <c r="DT382" s="125"/>
      <c r="DU382" s="125"/>
      <c r="DV382" s="125"/>
      <c r="DW382" s="125"/>
      <c r="DX382" s="125"/>
      <c r="DY382" s="125"/>
      <c r="DZ382" s="125"/>
      <c r="EA382" s="125"/>
      <c r="EB382" s="125"/>
      <c r="EC382" s="125"/>
      <c r="ED382" s="125"/>
      <c r="EE382" s="125"/>
      <c r="EF382" s="125"/>
      <c r="EG382" s="125"/>
      <c r="EH382" s="125"/>
      <c r="EI382" s="125"/>
      <c r="EJ382" s="125"/>
      <c r="EK382" s="125"/>
      <c r="EL382" s="125"/>
      <c r="EM382" s="125"/>
      <c r="EN382" s="125"/>
      <c r="EO382" s="125"/>
      <c r="EP382" s="125"/>
      <c r="EQ382" s="125"/>
      <c r="ER382" s="125"/>
      <c r="ES382" s="125"/>
      <c r="ET382" s="125"/>
      <c r="EU382" s="125">
        <f>'O duodécuplo'!$F$97*$D382*$B382</f>
        <v>102.00540178198922</v>
      </c>
      <c r="EV382" s="125">
        <f t="shared" si="420"/>
        <v>28.135909901826309</v>
      </c>
      <c r="EW382" s="125">
        <f t="shared" si="421"/>
        <v>130.14131168381553</v>
      </c>
    </row>
    <row r="383" spans="2:153" s="38" customFormat="1" ht="15.95" customHeight="1" x14ac:dyDescent="0.25">
      <c r="B383" s="98">
        <f t="shared" si="422"/>
        <v>17</v>
      </c>
      <c r="C383" s="125">
        <f t="shared" si="423"/>
        <v>331.89250191718025</v>
      </c>
      <c r="D383" s="125">
        <f t="shared" si="424"/>
        <v>195.57114214168737</v>
      </c>
      <c r="E383" s="125">
        <f t="shared" si="417"/>
        <v>136.32135977549288</v>
      </c>
      <c r="F383" s="140">
        <f t="shared" si="418"/>
        <v>0.69704230533526657</v>
      </c>
      <c r="G383" s="125">
        <v>0</v>
      </c>
      <c r="H383" s="125">
        <f t="shared" si="425"/>
        <v>6.1800480916773219</v>
      </c>
      <c r="I383" s="125">
        <v>0</v>
      </c>
      <c r="J383" s="125">
        <f t="shared" si="419"/>
        <v>6.1800480916773219</v>
      </c>
      <c r="K383" s="125">
        <f t="shared" si="426"/>
        <v>6.1800480916773219</v>
      </c>
      <c r="L383" s="125">
        <f t="shared" si="428"/>
        <v>6.1800480916773219</v>
      </c>
      <c r="M383" s="125">
        <f t="shared" si="429"/>
        <v>0.19528951969700339</v>
      </c>
      <c r="N383" s="125">
        <f t="shared" si="427"/>
        <v>6.3753376113743254</v>
      </c>
      <c r="O383" s="125">
        <f t="shared" si="430"/>
        <v>12.555385703051646</v>
      </c>
      <c r="P383" s="125">
        <f t="shared" si="432"/>
        <v>6.1800480916773219</v>
      </c>
      <c r="Q383" s="125">
        <f t="shared" si="433"/>
        <v>0.39675018821643204</v>
      </c>
      <c r="R383" s="125">
        <f t="shared" si="431"/>
        <v>6.5767982798937537</v>
      </c>
      <c r="S383" s="125">
        <f t="shared" si="434"/>
        <v>19.132183982945403</v>
      </c>
      <c r="T383" s="125">
        <f t="shared" si="436"/>
        <v>6.1800480916773219</v>
      </c>
      <c r="U383" s="125">
        <f t="shared" si="437"/>
        <v>0.60457701386107476</v>
      </c>
      <c r="V383" s="125">
        <f t="shared" si="435"/>
        <v>6.7846251055383968</v>
      </c>
      <c r="W383" s="125">
        <f t="shared" si="438"/>
        <v>25.916809088483799</v>
      </c>
      <c r="X383" s="125">
        <f t="shared" si="440"/>
        <v>6.1800480916773219</v>
      </c>
      <c r="Y383" s="125">
        <f t="shared" si="441"/>
        <v>0.81897116719608809</v>
      </c>
      <c r="Z383" s="125">
        <f t="shared" si="439"/>
        <v>6.9990192588734104</v>
      </c>
      <c r="AA383" s="125">
        <f t="shared" si="442"/>
        <v>32.915828347357213</v>
      </c>
      <c r="AB383" s="125">
        <f t="shared" si="444"/>
        <v>6.1800480916773219</v>
      </c>
      <c r="AC383" s="125">
        <f t="shared" si="445"/>
        <v>1.0401401757764881</v>
      </c>
      <c r="AD383" s="125">
        <f t="shared" si="443"/>
        <v>7.2201882674538105</v>
      </c>
      <c r="AE383" s="125">
        <f t="shared" si="446"/>
        <v>40.13601661481102</v>
      </c>
      <c r="AF383" s="125">
        <f t="shared" si="448"/>
        <v>6.1800480916773219</v>
      </c>
      <c r="AG383" s="125">
        <f t="shared" si="449"/>
        <v>1.2682981250280283</v>
      </c>
      <c r="AH383" s="125">
        <f t="shared" si="447"/>
        <v>7.4483462167053505</v>
      </c>
      <c r="AI383" s="125">
        <f t="shared" si="450"/>
        <v>47.584362831516366</v>
      </c>
      <c r="AJ383" s="125">
        <f t="shared" si="452"/>
        <v>6.1800480916773219</v>
      </c>
      <c r="AK383" s="125">
        <f t="shared" si="453"/>
        <v>1.5036658654759174</v>
      </c>
      <c r="AL383" s="125">
        <f t="shared" si="451"/>
        <v>7.6837139571532393</v>
      </c>
      <c r="AM383" s="125">
        <f t="shared" si="454"/>
        <v>55.268076788669603</v>
      </c>
      <c r="AN383" s="125">
        <f t="shared" si="456"/>
        <v>6.1800480916773219</v>
      </c>
      <c r="AO383" s="125">
        <f t="shared" si="457"/>
        <v>1.7464712265219597</v>
      </c>
      <c r="AP383" s="125">
        <f t="shared" si="455"/>
        <v>7.9265193181992819</v>
      </c>
      <c r="AQ383" s="125">
        <f t="shared" si="458"/>
        <v>63.194596106868886</v>
      </c>
      <c r="AR383" s="125">
        <f t="shared" si="460"/>
        <v>6.1800480916773219</v>
      </c>
      <c r="AS383" s="125">
        <f t="shared" si="461"/>
        <v>1.996949236977057</v>
      </c>
      <c r="AT383" s="125">
        <f t="shared" si="459"/>
        <v>8.1769973286543784</v>
      </c>
      <c r="AU383" s="125">
        <f t="shared" si="462"/>
        <v>71.371593435523266</v>
      </c>
      <c r="AV383" s="125">
        <f t="shared" si="464"/>
        <v>6.1800480916773219</v>
      </c>
      <c r="AW383" s="125">
        <f t="shared" si="465"/>
        <v>2.2553423525625353</v>
      </c>
      <c r="AX383" s="125">
        <f t="shared" si="463"/>
        <v>8.4353904442398573</v>
      </c>
      <c r="AY383" s="125">
        <f t="shared" si="466"/>
        <v>79.806983879763123</v>
      </c>
      <c r="AZ383" s="125">
        <f t="shared" si="468"/>
        <v>6.1800480916773219</v>
      </c>
      <c r="BA383" s="125">
        <f t="shared" si="469"/>
        <v>2.521900690600515</v>
      </c>
      <c r="BB383" s="125">
        <f t="shared" si="467"/>
        <v>8.701948782277837</v>
      </c>
      <c r="BC383" s="125">
        <f t="shared" si="470"/>
        <v>88.508932662040962</v>
      </c>
      <c r="BD383" s="125">
        <f t="shared" si="472"/>
        <v>6.1800480916773219</v>
      </c>
      <c r="BE383" s="125">
        <f t="shared" si="473"/>
        <v>2.7968822721204947</v>
      </c>
      <c r="BF383" s="125">
        <f t="shared" si="471"/>
        <v>8.9769303637978162</v>
      </c>
      <c r="BG383" s="125">
        <f t="shared" si="474"/>
        <v>97.485863025838782</v>
      </c>
      <c r="BH383" s="125">
        <f t="shared" si="476"/>
        <v>6.1800480916773219</v>
      </c>
      <c r="BI383" s="125">
        <f t="shared" si="477"/>
        <v>3.0805532716165058</v>
      </c>
      <c r="BJ383" s="125">
        <f t="shared" si="475"/>
        <v>9.2606013632938282</v>
      </c>
      <c r="BK383" s="125">
        <f t="shared" si="478"/>
        <v>106.74646438913261</v>
      </c>
      <c r="BL383" s="125">
        <f t="shared" si="480"/>
        <v>6.1800480916773219</v>
      </c>
      <c r="BM383" s="125">
        <f t="shared" si="481"/>
        <v>3.3731882746965907</v>
      </c>
      <c r="BN383" s="125">
        <f t="shared" si="479"/>
        <v>9.5532363663739126</v>
      </c>
      <c r="BO383" s="125">
        <f t="shared" si="482"/>
        <v>116.29970075550652</v>
      </c>
      <c r="BP383" s="125">
        <f t="shared" ref="BP383:BP402" si="484">$E$32*$D383</f>
        <v>6.1800480916773219</v>
      </c>
      <c r="BQ383" s="125">
        <f t="shared" ref="BQ383:BQ402" si="485">$E$32*BO383</f>
        <v>3.6750705438740066</v>
      </c>
      <c r="BR383" s="125">
        <f t="shared" si="483"/>
        <v>9.8551186355513281</v>
      </c>
      <c r="BS383" s="125">
        <f t="shared" ref="BS383:BS402" si="486">BO383+BP383+BQ383</f>
        <v>126.15481939105784</v>
      </c>
      <c r="BT383" s="125">
        <f>$E$32*$D383</f>
        <v>6.1800480916773219</v>
      </c>
      <c r="BU383" s="125">
        <f>$E$32*BS383</f>
        <v>3.9864922927574282</v>
      </c>
      <c r="BV383" s="125">
        <f t="shared" ref="BV383:BV402" si="487">BT383+BU383</f>
        <v>10.16654038443475</v>
      </c>
      <c r="BW383" s="125"/>
      <c r="BX383" s="125"/>
      <c r="BY383" s="125"/>
      <c r="BZ383" s="125"/>
      <c r="CA383" s="125"/>
      <c r="CB383" s="125"/>
      <c r="CC383" s="125"/>
      <c r="CD383" s="125"/>
      <c r="CE383" s="125"/>
      <c r="CF383" s="125"/>
      <c r="CG383" s="125"/>
      <c r="CH383" s="125"/>
      <c r="CI383" s="125"/>
      <c r="CJ383" s="125"/>
      <c r="CK383" s="125"/>
      <c r="CL383" s="125"/>
      <c r="CM383" s="125"/>
      <c r="CN383" s="125"/>
      <c r="CO383" s="125"/>
      <c r="CP383" s="125"/>
      <c r="CQ383" s="125"/>
      <c r="CR383" s="125"/>
      <c r="CS383" s="125"/>
      <c r="CT383" s="125"/>
      <c r="CU383" s="125"/>
      <c r="CV383" s="125"/>
      <c r="CW383" s="125"/>
      <c r="CX383" s="125"/>
      <c r="CY383" s="125"/>
      <c r="CZ383" s="125"/>
      <c r="DA383" s="125"/>
      <c r="DB383" s="125"/>
      <c r="DC383" s="125"/>
      <c r="DD383" s="125"/>
      <c r="DE383" s="125"/>
      <c r="DF383" s="125"/>
      <c r="DG383" s="125"/>
      <c r="DH383" s="125"/>
      <c r="DI383" s="125"/>
      <c r="DJ383" s="125"/>
      <c r="DK383" s="125"/>
      <c r="DL383" s="125"/>
      <c r="DM383" s="125"/>
      <c r="DN383" s="125"/>
      <c r="DO383" s="125"/>
      <c r="DP383" s="125"/>
      <c r="DQ383" s="125"/>
      <c r="DR383" s="125"/>
      <c r="DS383" s="125"/>
      <c r="DT383" s="125"/>
      <c r="DU383" s="125"/>
      <c r="DV383" s="125"/>
      <c r="DW383" s="125"/>
      <c r="DX383" s="125"/>
      <c r="DY383" s="125"/>
      <c r="DZ383" s="125"/>
      <c r="EA383" s="125"/>
      <c r="EB383" s="125"/>
      <c r="EC383" s="125"/>
      <c r="ED383" s="125"/>
      <c r="EE383" s="125"/>
      <c r="EF383" s="125"/>
      <c r="EG383" s="125"/>
      <c r="EH383" s="125"/>
      <c r="EI383" s="125"/>
      <c r="EJ383" s="125"/>
      <c r="EK383" s="125"/>
      <c r="EL383" s="125"/>
      <c r="EM383" s="125"/>
      <c r="EN383" s="125"/>
      <c r="EO383" s="125"/>
      <c r="EP383" s="125"/>
      <c r="EQ383" s="125"/>
      <c r="ER383" s="125"/>
      <c r="ES383" s="125"/>
      <c r="ET383" s="125"/>
      <c r="EU383" s="125">
        <f>'O duodécuplo'!$F$97*$D383*$B383</f>
        <v>105.06081755851447</v>
      </c>
      <c r="EV383" s="125">
        <f t="shared" si="420"/>
        <v>31.260542216978408</v>
      </c>
      <c r="EW383" s="125">
        <f t="shared" si="421"/>
        <v>136.32135977549288</v>
      </c>
    </row>
    <row r="384" spans="2:153" s="38" customFormat="1" ht="15.95" customHeight="1" x14ac:dyDescent="0.25">
      <c r="B384" s="98">
        <f t="shared" si="422"/>
        <v>18</v>
      </c>
      <c r="C384" s="125">
        <f t="shared" si="423"/>
        <v>331.89250191718025</v>
      </c>
      <c r="D384" s="125">
        <f t="shared" si="424"/>
        <v>189.58040145568765</v>
      </c>
      <c r="E384" s="125">
        <f t="shared" si="417"/>
        <v>142.31210046149261</v>
      </c>
      <c r="F384" s="140">
        <f t="shared" si="418"/>
        <v>0.75066884218386098</v>
      </c>
      <c r="G384" s="125">
        <v>0</v>
      </c>
      <c r="H384" s="125">
        <f t="shared" si="425"/>
        <v>5.9907406859997305</v>
      </c>
      <c r="I384" s="125">
        <v>0</v>
      </c>
      <c r="J384" s="125">
        <f t="shared" si="419"/>
        <v>5.9907406859997305</v>
      </c>
      <c r="K384" s="125">
        <f t="shared" si="426"/>
        <v>5.9907406859997305</v>
      </c>
      <c r="L384" s="125">
        <f t="shared" si="428"/>
        <v>5.9907406859997305</v>
      </c>
      <c r="M384" s="125">
        <f t="shared" si="429"/>
        <v>0.18930740567759149</v>
      </c>
      <c r="N384" s="125">
        <f t="shared" si="427"/>
        <v>6.1800480916773219</v>
      </c>
      <c r="O384" s="125">
        <f t="shared" si="430"/>
        <v>12.170788777677053</v>
      </c>
      <c r="P384" s="125">
        <f t="shared" si="432"/>
        <v>5.9907406859997305</v>
      </c>
      <c r="Q384" s="125">
        <f t="shared" si="433"/>
        <v>0.38459692537459494</v>
      </c>
      <c r="R384" s="125">
        <f t="shared" si="431"/>
        <v>6.3753376113743254</v>
      </c>
      <c r="S384" s="125">
        <f t="shared" si="434"/>
        <v>18.546126389051381</v>
      </c>
      <c r="T384" s="125">
        <f t="shared" si="436"/>
        <v>5.9907406859997305</v>
      </c>
      <c r="U384" s="125">
        <f t="shared" si="437"/>
        <v>0.58605759389402368</v>
      </c>
      <c r="V384" s="125">
        <f t="shared" si="435"/>
        <v>6.5767982798937545</v>
      </c>
      <c r="W384" s="125">
        <f t="shared" si="438"/>
        <v>25.122924668945135</v>
      </c>
      <c r="X384" s="125">
        <f t="shared" si="440"/>
        <v>5.9907406859997305</v>
      </c>
      <c r="Y384" s="125">
        <f t="shared" si="441"/>
        <v>0.7938844195386664</v>
      </c>
      <c r="Z384" s="125">
        <f t="shared" si="439"/>
        <v>6.7846251055383968</v>
      </c>
      <c r="AA384" s="125">
        <f t="shared" si="442"/>
        <v>31.907549774483531</v>
      </c>
      <c r="AB384" s="125">
        <f t="shared" si="444"/>
        <v>5.9907406859997305</v>
      </c>
      <c r="AC384" s="125">
        <f t="shared" si="445"/>
        <v>1.0082785728736796</v>
      </c>
      <c r="AD384" s="125">
        <f t="shared" si="443"/>
        <v>6.9990192588734104</v>
      </c>
      <c r="AE384" s="125">
        <f t="shared" si="446"/>
        <v>38.906569033356938</v>
      </c>
      <c r="AF384" s="125">
        <f t="shared" si="448"/>
        <v>5.9907406859997305</v>
      </c>
      <c r="AG384" s="125">
        <f t="shared" si="449"/>
        <v>1.2294475814540793</v>
      </c>
      <c r="AH384" s="125">
        <f t="shared" si="447"/>
        <v>7.2201882674538096</v>
      </c>
      <c r="AI384" s="125">
        <f t="shared" si="450"/>
        <v>46.126757300810752</v>
      </c>
      <c r="AJ384" s="125">
        <f t="shared" si="452"/>
        <v>5.9907406859997305</v>
      </c>
      <c r="AK384" s="125">
        <f t="shared" si="453"/>
        <v>1.4576055307056199</v>
      </c>
      <c r="AL384" s="125">
        <f t="shared" si="451"/>
        <v>7.4483462167053505</v>
      </c>
      <c r="AM384" s="125">
        <f t="shared" si="454"/>
        <v>53.575103517516105</v>
      </c>
      <c r="AN384" s="125">
        <f t="shared" si="456"/>
        <v>5.9907406859997305</v>
      </c>
      <c r="AO384" s="125">
        <f t="shared" si="457"/>
        <v>1.692973271153509</v>
      </c>
      <c r="AP384" s="125">
        <f t="shared" si="455"/>
        <v>7.6837139571532393</v>
      </c>
      <c r="AQ384" s="125">
        <f t="shared" si="458"/>
        <v>61.25881747466935</v>
      </c>
      <c r="AR384" s="125">
        <f t="shared" si="460"/>
        <v>5.9907406859997305</v>
      </c>
      <c r="AS384" s="125">
        <f t="shared" si="461"/>
        <v>1.9357786321995516</v>
      </c>
      <c r="AT384" s="125">
        <f t="shared" si="459"/>
        <v>7.9265193181992819</v>
      </c>
      <c r="AU384" s="125">
        <f t="shared" si="462"/>
        <v>69.18533679286864</v>
      </c>
      <c r="AV384" s="125">
        <f t="shared" si="464"/>
        <v>5.9907406859997305</v>
      </c>
      <c r="AW384" s="125">
        <f t="shared" si="465"/>
        <v>2.1862566426546493</v>
      </c>
      <c r="AX384" s="125">
        <f t="shared" si="463"/>
        <v>8.1769973286543802</v>
      </c>
      <c r="AY384" s="125">
        <f t="shared" si="466"/>
        <v>77.36233412152302</v>
      </c>
      <c r="AZ384" s="125">
        <f t="shared" si="468"/>
        <v>5.9907406859997305</v>
      </c>
      <c r="BA384" s="125">
        <f t="shared" si="469"/>
        <v>2.4446497582401276</v>
      </c>
      <c r="BB384" s="125">
        <f t="shared" si="467"/>
        <v>8.4353904442398573</v>
      </c>
      <c r="BC384" s="125">
        <f t="shared" si="470"/>
        <v>85.797724565762877</v>
      </c>
      <c r="BD384" s="125">
        <f t="shared" si="472"/>
        <v>5.9907406859997305</v>
      </c>
      <c r="BE384" s="125">
        <f t="shared" si="473"/>
        <v>2.7112080962781073</v>
      </c>
      <c r="BF384" s="125">
        <f t="shared" si="471"/>
        <v>8.7019487822778387</v>
      </c>
      <c r="BG384" s="125">
        <f t="shared" si="474"/>
        <v>94.499673348040716</v>
      </c>
      <c r="BH384" s="125">
        <f t="shared" si="476"/>
        <v>5.9907406859997305</v>
      </c>
      <c r="BI384" s="125">
        <f t="shared" si="477"/>
        <v>2.986189677798087</v>
      </c>
      <c r="BJ384" s="125">
        <f t="shared" si="475"/>
        <v>8.9769303637978179</v>
      </c>
      <c r="BK384" s="125">
        <f t="shared" si="478"/>
        <v>103.47660371183852</v>
      </c>
      <c r="BL384" s="125">
        <f t="shared" si="480"/>
        <v>5.9907406859997305</v>
      </c>
      <c r="BM384" s="125">
        <f t="shared" si="481"/>
        <v>3.2698606772940977</v>
      </c>
      <c r="BN384" s="125">
        <f t="shared" si="479"/>
        <v>9.2606013632938282</v>
      </c>
      <c r="BO384" s="125">
        <f t="shared" si="482"/>
        <v>112.73720507513235</v>
      </c>
      <c r="BP384" s="125">
        <f t="shared" si="484"/>
        <v>5.9907406859997305</v>
      </c>
      <c r="BQ384" s="125">
        <f t="shared" si="485"/>
        <v>3.5624956803741825</v>
      </c>
      <c r="BR384" s="125">
        <f t="shared" si="483"/>
        <v>9.5532363663739126</v>
      </c>
      <c r="BS384" s="125">
        <f t="shared" si="486"/>
        <v>122.29044144150626</v>
      </c>
      <c r="BT384" s="125">
        <f t="shared" ref="BT384:BT402" si="488">$E$32*$D384</f>
        <v>5.9907406859997305</v>
      </c>
      <c r="BU384" s="125">
        <f t="shared" ref="BU384:BU402" si="489">$E$32*BS384</f>
        <v>3.8643779495515984</v>
      </c>
      <c r="BV384" s="125">
        <f t="shared" si="487"/>
        <v>9.8551186355513281</v>
      </c>
      <c r="BW384" s="125">
        <f t="shared" ref="BW384:BW402" si="490">BS384+BT384+BU384</f>
        <v>132.14556007705758</v>
      </c>
      <c r="BX384" s="125">
        <f>$E$32*$D384</f>
        <v>5.9907406859997305</v>
      </c>
      <c r="BY384" s="125">
        <f>$E$32*BW384</f>
        <v>4.1757996984350196</v>
      </c>
      <c r="BZ384" s="125">
        <f t="shared" ref="BZ384:BZ402" si="491">BX384+BY384</f>
        <v>10.16654038443475</v>
      </c>
      <c r="CA384" s="125"/>
      <c r="CB384" s="125"/>
      <c r="CC384" s="125"/>
      <c r="CD384" s="125"/>
      <c r="CE384" s="125"/>
      <c r="CF384" s="125"/>
      <c r="CG384" s="125"/>
      <c r="CH384" s="125"/>
      <c r="CI384" s="125"/>
      <c r="CJ384" s="125"/>
      <c r="CK384" s="125"/>
      <c r="CL384" s="125"/>
      <c r="CM384" s="125"/>
      <c r="CN384" s="125"/>
      <c r="CO384" s="125"/>
      <c r="CP384" s="125"/>
      <c r="CQ384" s="125"/>
      <c r="CR384" s="125"/>
      <c r="CS384" s="125"/>
      <c r="CT384" s="125"/>
      <c r="CU384" s="125"/>
      <c r="CV384" s="125"/>
      <c r="CW384" s="125"/>
      <c r="CX384" s="125"/>
      <c r="CY384" s="125"/>
      <c r="CZ384" s="125"/>
      <c r="DA384" s="125"/>
      <c r="DB384" s="125"/>
      <c r="DC384" s="125"/>
      <c r="DD384" s="125"/>
      <c r="DE384" s="125"/>
      <c r="DF384" s="125"/>
      <c r="DG384" s="125"/>
      <c r="DH384" s="125"/>
      <c r="DI384" s="125"/>
      <c r="DJ384" s="125"/>
      <c r="DK384" s="125"/>
      <c r="DL384" s="125"/>
      <c r="DM384" s="125"/>
      <c r="DN384" s="125"/>
      <c r="DO384" s="125"/>
      <c r="DP384" s="125"/>
      <c r="DQ384" s="125"/>
      <c r="DR384" s="125"/>
      <c r="DS384" s="125"/>
      <c r="DT384" s="125"/>
      <c r="DU384" s="125"/>
      <c r="DV384" s="125"/>
      <c r="DW384" s="125"/>
      <c r="DX384" s="125"/>
      <c r="DY384" s="125"/>
      <c r="DZ384" s="125"/>
      <c r="EA384" s="125"/>
      <c r="EB384" s="125"/>
      <c r="EC384" s="125"/>
      <c r="ED384" s="125"/>
      <c r="EE384" s="125"/>
      <c r="EF384" s="125"/>
      <c r="EG384" s="125"/>
      <c r="EH384" s="125"/>
      <c r="EI384" s="125"/>
      <c r="EJ384" s="125"/>
      <c r="EK384" s="125"/>
      <c r="EL384" s="125"/>
      <c r="EM384" s="125"/>
      <c r="EN384" s="125"/>
      <c r="EO384" s="125"/>
      <c r="EP384" s="125"/>
      <c r="EQ384" s="125"/>
      <c r="ER384" s="125"/>
      <c r="ES384" s="125"/>
      <c r="ET384" s="125"/>
      <c r="EU384" s="125">
        <f>'O duodécuplo'!$F$97*$D384*$B384</f>
        <v>107.83333234799515</v>
      </c>
      <c r="EV384" s="125">
        <f t="shared" si="420"/>
        <v>34.478768113497452</v>
      </c>
      <c r="EW384" s="125">
        <f t="shared" si="421"/>
        <v>142.31210046149261</v>
      </c>
    </row>
    <row r="385" spans="2:153" s="38" customFormat="1" ht="15.95" customHeight="1" x14ac:dyDescent="0.25">
      <c r="B385" s="98">
        <f t="shared" si="422"/>
        <v>19</v>
      </c>
      <c r="C385" s="125">
        <f t="shared" si="423"/>
        <v>331.89250191718025</v>
      </c>
      <c r="D385" s="125">
        <f t="shared" si="424"/>
        <v>183.77316930562972</v>
      </c>
      <c r="E385" s="125">
        <f t="shared" si="417"/>
        <v>148.11933261155053</v>
      </c>
      <c r="F385" s="140">
        <f t="shared" si="418"/>
        <v>0.8059899775968713</v>
      </c>
      <c r="G385" s="125">
        <v>0</v>
      </c>
      <c r="H385" s="125">
        <f t="shared" si="425"/>
        <v>5.8072321500578994</v>
      </c>
      <c r="I385" s="125">
        <v>0</v>
      </c>
      <c r="J385" s="125">
        <f t="shared" si="419"/>
        <v>5.8072321500578994</v>
      </c>
      <c r="K385" s="125">
        <f t="shared" si="426"/>
        <v>5.8072321500578994</v>
      </c>
      <c r="L385" s="125">
        <f t="shared" si="428"/>
        <v>5.8072321500578994</v>
      </c>
      <c r="M385" s="125">
        <f t="shared" si="429"/>
        <v>0.18350853594182964</v>
      </c>
      <c r="N385" s="125">
        <f t="shared" si="427"/>
        <v>5.9907406859997288</v>
      </c>
      <c r="O385" s="125">
        <f t="shared" si="430"/>
        <v>11.797972836057628</v>
      </c>
      <c r="P385" s="125">
        <f t="shared" si="432"/>
        <v>5.8072321500578994</v>
      </c>
      <c r="Q385" s="125">
        <f t="shared" si="433"/>
        <v>0.37281594161942111</v>
      </c>
      <c r="R385" s="125">
        <f t="shared" si="431"/>
        <v>6.1800480916773202</v>
      </c>
      <c r="S385" s="125">
        <f t="shared" si="434"/>
        <v>17.978020927734949</v>
      </c>
      <c r="T385" s="125">
        <f t="shared" si="436"/>
        <v>5.8072321500578994</v>
      </c>
      <c r="U385" s="125">
        <f t="shared" si="437"/>
        <v>0.56810546131642448</v>
      </c>
      <c r="V385" s="125">
        <f t="shared" si="435"/>
        <v>6.3753376113743236</v>
      </c>
      <c r="W385" s="125">
        <f t="shared" si="438"/>
        <v>24.353358539109273</v>
      </c>
      <c r="X385" s="125">
        <f t="shared" si="440"/>
        <v>5.8072321500578994</v>
      </c>
      <c r="Y385" s="125">
        <f t="shared" si="441"/>
        <v>0.76956612983585315</v>
      </c>
      <c r="Z385" s="125">
        <f t="shared" si="439"/>
        <v>6.5767982798937528</v>
      </c>
      <c r="AA385" s="125">
        <f t="shared" si="442"/>
        <v>30.930156819003024</v>
      </c>
      <c r="AB385" s="125">
        <f t="shared" si="444"/>
        <v>5.8072321500578994</v>
      </c>
      <c r="AC385" s="125">
        <f t="shared" si="445"/>
        <v>0.97739295548049565</v>
      </c>
      <c r="AD385" s="125">
        <f t="shared" si="443"/>
        <v>6.784625105538395</v>
      </c>
      <c r="AE385" s="125">
        <f t="shared" si="446"/>
        <v>37.71478192454142</v>
      </c>
      <c r="AF385" s="125">
        <f t="shared" si="448"/>
        <v>5.8072321500578994</v>
      </c>
      <c r="AG385" s="125">
        <f t="shared" si="449"/>
        <v>1.191787108815509</v>
      </c>
      <c r="AH385" s="125">
        <f t="shared" si="447"/>
        <v>6.9990192588734086</v>
      </c>
      <c r="AI385" s="125">
        <f t="shared" si="450"/>
        <v>44.71380118341483</v>
      </c>
      <c r="AJ385" s="125">
        <f t="shared" si="452"/>
        <v>5.8072321500578994</v>
      </c>
      <c r="AK385" s="125">
        <f t="shared" si="453"/>
        <v>1.4129561173959089</v>
      </c>
      <c r="AL385" s="125">
        <f t="shared" si="451"/>
        <v>7.2201882674538087</v>
      </c>
      <c r="AM385" s="125">
        <f t="shared" si="454"/>
        <v>51.933989450868637</v>
      </c>
      <c r="AN385" s="125">
        <f t="shared" si="456"/>
        <v>5.8072321500578994</v>
      </c>
      <c r="AO385" s="125">
        <f t="shared" si="457"/>
        <v>1.6411140666474491</v>
      </c>
      <c r="AP385" s="125">
        <f t="shared" si="455"/>
        <v>7.4483462167053487</v>
      </c>
      <c r="AQ385" s="125">
        <f t="shared" si="458"/>
        <v>59.382335667573983</v>
      </c>
      <c r="AR385" s="125">
        <f t="shared" si="460"/>
        <v>5.8072321500578994</v>
      </c>
      <c r="AS385" s="125">
        <f t="shared" si="461"/>
        <v>1.876481807095338</v>
      </c>
      <c r="AT385" s="125">
        <f t="shared" si="459"/>
        <v>7.6837139571532376</v>
      </c>
      <c r="AU385" s="125">
        <f t="shared" si="462"/>
        <v>67.066049624727214</v>
      </c>
      <c r="AV385" s="125">
        <f t="shared" si="464"/>
        <v>5.8072321500578994</v>
      </c>
      <c r="AW385" s="125">
        <f t="shared" si="465"/>
        <v>2.1192871681413803</v>
      </c>
      <c r="AX385" s="125">
        <f t="shared" si="463"/>
        <v>7.9265193181992792</v>
      </c>
      <c r="AY385" s="125">
        <f t="shared" si="466"/>
        <v>74.992568942926496</v>
      </c>
      <c r="AZ385" s="125">
        <f t="shared" si="468"/>
        <v>5.8072321500578994</v>
      </c>
      <c r="BA385" s="125">
        <f t="shared" si="469"/>
        <v>2.3697651785964777</v>
      </c>
      <c r="BB385" s="125">
        <f t="shared" si="467"/>
        <v>8.1769973286543767</v>
      </c>
      <c r="BC385" s="125">
        <f t="shared" si="470"/>
        <v>83.169566271580877</v>
      </c>
      <c r="BD385" s="125">
        <f t="shared" si="472"/>
        <v>5.8072321500578994</v>
      </c>
      <c r="BE385" s="125">
        <f t="shared" si="473"/>
        <v>2.6281582941819561</v>
      </c>
      <c r="BF385" s="125">
        <f t="shared" si="471"/>
        <v>8.4353904442398555</v>
      </c>
      <c r="BG385" s="125">
        <f t="shared" si="474"/>
        <v>91.604956715820734</v>
      </c>
      <c r="BH385" s="125">
        <f t="shared" si="476"/>
        <v>5.8072321500578994</v>
      </c>
      <c r="BI385" s="125">
        <f t="shared" si="477"/>
        <v>2.8947166322199354</v>
      </c>
      <c r="BJ385" s="125">
        <f t="shared" si="475"/>
        <v>8.7019487822778352</v>
      </c>
      <c r="BK385" s="125">
        <f t="shared" si="478"/>
        <v>100.30690549809857</v>
      </c>
      <c r="BL385" s="125">
        <f t="shared" si="480"/>
        <v>5.8072321500578994</v>
      </c>
      <c r="BM385" s="125">
        <f t="shared" si="481"/>
        <v>3.169698213739915</v>
      </c>
      <c r="BN385" s="125">
        <f t="shared" si="479"/>
        <v>8.9769303637978144</v>
      </c>
      <c r="BO385" s="125">
        <f t="shared" si="482"/>
        <v>109.28383586189639</v>
      </c>
      <c r="BP385" s="125">
        <f t="shared" si="484"/>
        <v>5.8072321500578994</v>
      </c>
      <c r="BQ385" s="125">
        <f t="shared" si="485"/>
        <v>3.4533692132359262</v>
      </c>
      <c r="BR385" s="125">
        <f t="shared" si="483"/>
        <v>9.2606013632938264</v>
      </c>
      <c r="BS385" s="125">
        <f t="shared" si="486"/>
        <v>118.54443722519022</v>
      </c>
      <c r="BT385" s="125">
        <f t="shared" si="488"/>
        <v>5.8072321500578994</v>
      </c>
      <c r="BU385" s="125">
        <f t="shared" si="489"/>
        <v>3.7460042163160114</v>
      </c>
      <c r="BV385" s="125">
        <f t="shared" si="487"/>
        <v>9.5532363663739108</v>
      </c>
      <c r="BW385" s="125">
        <f t="shared" si="490"/>
        <v>128.09767359156413</v>
      </c>
      <c r="BX385" s="125">
        <f t="shared" ref="BX385:BX402" si="492">$E$32*$D385</f>
        <v>5.8072321500578994</v>
      </c>
      <c r="BY385" s="125">
        <f t="shared" ref="BY385:BY402" si="493">$E$32*BW385</f>
        <v>4.0478864854934269</v>
      </c>
      <c r="BZ385" s="125">
        <f t="shared" si="491"/>
        <v>9.8551186355513263</v>
      </c>
      <c r="CA385" s="125">
        <f t="shared" ref="CA385:CA402" si="494">BW385+BX385+BY385</f>
        <v>137.95279222711545</v>
      </c>
      <c r="CB385" s="125">
        <f>$E$32*$D385</f>
        <v>5.8072321500578994</v>
      </c>
      <c r="CC385" s="125">
        <f>$E$32*CA385</f>
        <v>4.359308234376849</v>
      </c>
      <c r="CD385" s="125">
        <f t="shared" ref="CD385:CD402" si="495">CB385+CC385</f>
        <v>10.166540384434748</v>
      </c>
      <c r="CE385" s="125"/>
      <c r="CF385" s="125"/>
      <c r="CG385" s="125"/>
      <c r="CH385" s="125"/>
      <c r="CI385" s="125"/>
      <c r="CJ385" s="125"/>
      <c r="CK385" s="125"/>
      <c r="CL385" s="125"/>
      <c r="CM385" s="125"/>
      <c r="CN385" s="125"/>
      <c r="CO385" s="125"/>
      <c r="CP385" s="125"/>
      <c r="CQ385" s="125"/>
      <c r="CR385" s="125"/>
      <c r="CS385" s="125"/>
      <c r="CT385" s="125"/>
      <c r="CU385" s="125"/>
      <c r="CV385" s="125"/>
      <c r="CW385" s="125"/>
      <c r="CX385" s="125"/>
      <c r="CY385" s="125"/>
      <c r="CZ385" s="125"/>
      <c r="DA385" s="125"/>
      <c r="DB385" s="125"/>
      <c r="DC385" s="125"/>
      <c r="DD385" s="125"/>
      <c r="DE385" s="125"/>
      <c r="DF385" s="125"/>
      <c r="DG385" s="125"/>
      <c r="DH385" s="125"/>
      <c r="DI385" s="125"/>
      <c r="DJ385" s="125"/>
      <c r="DK385" s="125"/>
      <c r="DL385" s="125"/>
      <c r="DM385" s="125"/>
      <c r="DN385" s="125"/>
      <c r="DO385" s="125"/>
      <c r="DP385" s="125"/>
      <c r="DQ385" s="125"/>
      <c r="DR385" s="125"/>
      <c r="DS385" s="125"/>
      <c r="DT385" s="125"/>
      <c r="DU385" s="125"/>
      <c r="DV385" s="125"/>
      <c r="DW385" s="125"/>
      <c r="DX385" s="125"/>
      <c r="DY385" s="125"/>
      <c r="DZ385" s="125"/>
      <c r="EA385" s="125"/>
      <c r="EB385" s="125"/>
      <c r="EC385" s="125"/>
      <c r="ED385" s="125"/>
      <c r="EE385" s="125"/>
      <c r="EF385" s="125"/>
      <c r="EG385" s="125"/>
      <c r="EH385" s="125"/>
      <c r="EI385" s="125"/>
      <c r="EJ385" s="125"/>
      <c r="EK385" s="125"/>
      <c r="EL385" s="125"/>
      <c r="EM385" s="125"/>
      <c r="EN385" s="125"/>
      <c r="EO385" s="125"/>
      <c r="EP385" s="125"/>
      <c r="EQ385" s="125"/>
      <c r="ER385" s="125"/>
      <c r="ES385" s="125"/>
      <c r="ET385" s="125"/>
      <c r="EU385" s="125">
        <f>'O duodécuplo'!$F$97*$D385*$B385</f>
        <v>110.33741085110009</v>
      </c>
      <c r="EV385" s="125">
        <f t="shared" si="420"/>
        <v>37.781921760450444</v>
      </c>
      <c r="EW385" s="125">
        <f t="shared" si="421"/>
        <v>148.11933261155053</v>
      </c>
    </row>
    <row r="386" spans="2:153" s="38" customFormat="1" ht="15.95" customHeight="1" x14ac:dyDescent="0.25">
      <c r="B386" s="98">
        <f t="shared" si="422"/>
        <v>20</v>
      </c>
      <c r="C386" s="125">
        <f t="shared" si="423"/>
        <v>331.89250191718025</v>
      </c>
      <c r="D386" s="125">
        <f t="shared" si="424"/>
        <v>178.14382445291756</v>
      </c>
      <c r="E386" s="125">
        <f t="shared" si="417"/>
        <v>153.7486774642627</v>
      </c>
      <c r="F386" s="140">
        <f t="shared" si="418"/>
        <v>0.86305926088893214</v>
      </c>
      <c r="G386" s="125">
        <v>0</v>
      </c>
      <c r="H386" s="125">
        <f t="shared" si="425"/>
        <v>5.6293448527121956</v>
      </c>
      <c r="I386" s="125">
        <v>0</v>
      </c>
      <c r="J386" s="125">
        <f t="shared" si="419"/>
        <v>5.6293448527121956</v>
      </c>
      <c r="K386" s="125">
        <f t="shared" si="426"/>
        <v>5.6293448527121956</v>
      </c>
      <c r="L386" s="125">
        <f t="shared" si="428"/>
        <v>5.6293448527121956</v>
      </c>
      <c r="M386" s="125">
        <f t="shared" si="429"/>
        <v>0.17788729734570541</v>
      </c>
      <c r="N386" s="125">
        <f t="shared" si="427"/>
        <v>5.8072321500579012</v>
      </c>
      <c r="O386" s="125">
        <f t="shared" si="430"/>
        <v>11.436577002770097</v>
      </c>
      <c r="P386" s="125">
        <f t="shared" si="432"/>
        <v>5.6293448527121956</v>
      </c>
      <c r="Q386" s="125">
        <f t="shared" si="433"/>
        <v>0.36139583328753511</v>
      </c>
      <c r="R386" s="125">
        <f t="shared" si="431"/>
        <v>5.9907406859997305</v>
      </c>
      <c r="S386" s="125">
        <f t="shared" si="434"/>
        <v>17.427317688769829</v>
      </c>
      <c r="T386" s="125">
        <f t="shared" si="436"/>
        <v>5.6293448527121956</v>
      </c>
      <c r="U386" s="125">
        <f t="shared" si="437"/>
        <v>0.55070323896512663</v>
      </c>
      <c r="V386" s="125">
        <f t="shared" si="435"/>
        <v>6.1800480916773219</v>
      </c>
      <c r="W386" s="125">
        <f t="shared" si="438"/>
        <v>23.607365780447154</v>
      </c>
      <c r="X386" s="125">
        <f t="shared" si="440"/>
        <v>5.6293448527121956</v>
      </c>
      <c r="Y386" s="125">
        <f t="shared" si="441"/>
        <v>0.74599275866213011</v>
      </c>
      <c r="Z386" s="125">
        <f t="shared" si="439"/>
        <v>6.3753376113743254</v>
      </c>
      <c r="AA386" s="125">
        <f t="shared" si="442"/>
        <v>29.982703391821477</v>
      </c>
      <c r="AB386" s="125">
        <f t="shared" si="444"/>
        <v>5.6293448527121956</v>
      </c>
      <c r="AC386" s="125">
        <f t="shared" si="445"/>
        <v>0.94745342718155878</v>
      </c>
      <c r="AD386" s="125">
        <f t="shared" si="443"/>
        <v>6.5767982798937545</v>
      </c>
      <c r="AE386" s="125">
        <f t="shared" si="446"/>
        <v>36.559501671715232</v>
      </c>
      <c r="AF386" s="125">
        <f t="shared" si="448"/>
        <v>5.6293448527121956</v>
      </c>
      <c r="AG386" s="125">
        <f t="shared" si="449"/>
        <v>1.1552802528262014</v>
      </c>
      <c r="AH386" s="125">
        <f t="shared" si="447"/>
        <v>6.7846251055383968</v>
      </c>
      <c r="AI386" s="125">
        <f t="shared" si="450"/>
        <v>43.344126777253628</v>
      </c>
      <c r="AJ386" s="125">
        <f t="shared" si="452"/>
        <v>5.6293448527121956</v>
      </c>
      <c r="AK386" s="125">
        <f t="shared" si="453"/>
        <v>1.3696744061612147</v>
      </c>
      <c r="AL386" s="125">
        <f t="shared" si="451"/>
        <v>6.9990192588734104</v>
      </c>
      <c r="AM386" s="125">
        <f t="shared" si="454"/>
        <v>50.343146036127038</v>
      </c>
      <c r="AN386" s="125">
        <f t="shared" si="456"/>
        <v>5.6293448527121956</v>
      </c>
      <c r="AO386" s="125">
        <f t="shared" si="457"/>
        <v>1.5908434147416146</v>
      </c>
      <c r="AP386" s="125">
        <f t="shared" si="455"/>
        <v>7.2201882674538105</v>
      </c>
      <c r="AQ386" s="125">
        <f t="shared" si="458"/>
        <v>57.563334303580845</v>
      </c>
      <c r="AR386" s="125">
        <f t="shared" si="460"/>
        <v>5.6293448527121956</v>
      </c>
      <c r="AS386" s="125">
        <f t="shared" si="461"/>
        <v>1.8190013639931548</v>
      </c>
      <c r="AT386" s="125">
        <f t="shared" si="459"/>
        <v>7.4483462167053505</v>
      </c>
      <c r="AU386" s="125">
        <f t="shared" si="462"/>
        <v>65.011680520286191</v>
      </c>
      <c r="AV386" s="125">
        <f t="shared" si="464"/>
        <v>5.6293448527121956</v>
      </c>
      <c r="AW386" s="125">
        <f t="shared" si="465"/>
        <v>2.0543691044410437</v>
      </c>
      <c r="AX386" s="125">
        <f t="shared" si="463"/>
        <v>7.6837139571532393</v>
      </c>
      <c r="AY386" s="125">
        <f t="shared" si="466"/>
        <v>72.695394477439436</v>
      </c>
      <c r="AZ386" s="125">
        <f t="shared" si="468"/>
        <v>5.6293448527121956</v>
      </c>
      <c r="BA386" s="125">
        <f t="shared" si="469"/>
        <v>2.2971744654870863</v>
      </c>
      <c r="BB386" s="125">
        <f t="shared" si="467"/>
        <v>7.9265193181992819</v>
      </c>
      <c r="BC386" s="125">
        <f t="shared" si="470"/>
        <v>80.621913795638719</v>
      </c>
      <c r="BD386" s="125">
        <f t="shared" si="472"/>
        <v>5.6293448527121956</v>
      </c>
      <c r="BE386" s="125">
        <f t="shared" si="473"/>
        <v>2.5476524759421837</v>
      </c>
      <c r="BF386" s="125">
        <f t="shared" si="471"/>
        <v>8.1769973286543802</v>
      </c>
      <c r="BG386" s="125">
        <f t="shared" si="474"/>
        <v>88.798911124293099</v>
      </c>
      <c r="BH386" s="125">
        <f t="shared" si="476"/>
        <v>5.6293448527121956</v>
      </c>
      <c r="BI386" s="125">
        <f t="shared" si="477"/>
        <v>2.8060455915276621</v>
      </c>
      <c r="BJ386" s="125">
        <f t="shared" si="475"/>
        <v>8.4353904442398573</v>
      </c>
      <c r="BK386" s="125">
        <f t="shared" si="478"/>
        <v>97.234301568532956</v>
      </c>
      <c r="BL386" s="125">
        <f t="shared" si="480"/>
        <v>5.6293448527121956</v>
      </c>
      <c r="BM386" s="125">
        <f t="shared" si="481"/>
        <v>3.0726039295656418</v>
      </c>
      <c r="BN386" s="125">
        <f t="shared" si="479"/>
        <v>8.701948782277837</v>
      </c>
      <c r="BO386" s="125">
        <f t="shared" si="482"/>
        <v>105.93625035081079</v>
      </c>
      <c r="BP386" s="125">
        <f t="shared" si="484"/>
        <v>5.6293448527121956</v>
      </c>
      <c r="BQ386" s="125">
        <f t="shared" si="485"/>
        <v>3.3475855110856214</v>
      </c>
      <c r="BR386" s="125">
        <f t="shared" si="483"/>
        <v>8.9769303637978162</v>
      </c>
      <c r="BS386" s="125">
        <f t="shared" si="486"/>
        <v>114.91318071460861</v>
      </c>
      <c r="BT386" s="125">
        <f t="shared" si="488"/>
        <v>5.6293448527121956</v>
      </c>
      <c r="BU386" s="125">
        <f t="shared" si="489"/>
        <v>3.6312565105816326</v>
      </c>
      <c r="BV386" s="125">
        <f t="shared" si="487"/>
        <v>9.2606013632938282</v>
      </c>
      <c r="BW386" s="125">
        <f t="shared" si="490"/>
        <v>124.17378207790244</v>
      </c>
      <c r="BX386" s="125">
        <f t="shared" si="492"/>
        <v>5.6293448527121956</v>
      </c>
      <c r="BY386" s="125">
        <f t="shared" si="493"/>
        <v>3.9238915136617178</v>
      </c>
      <c r="BZ386" s="125">
        <f t="shared" si="491"/>
        <v>9.5532363663739126</v>
      </c>
      <c r="CA386" s="125">
        <f t="shared" si="494"/>
        <v>133.72701844427635</v>
      </c>
      <c r="CB386" s="125">
        <f t="shared" ref="CB386:CB402" si="496">$E$32*$D386</f>
        <v>5.6293448527121956</v>
      </c>
      <c r="CC386" s="125">
        <f t="shared" ref="CC386:CC402" si="497">$E$32*CA386</f>
        <v>4.2257737828391333</v>
      </c>
      <c r="CD386" s="125">
        <f t="shared" si="495"/>
        <v>9.8551186355513281</v>
      </c>
      <c r="CE386" s="125">
        <f t="shared" ref="CE386:CE402" si="498">CA386+CB386+CC386</f>
        <v>143.58213707982767</v>
      </c>
      <c r="CF386" s="125">
        <f>$E$32*$D386</f>
        <v>5.6293448527121956</v>
      </c>
      <c r="CG386" s="125">
        <f>$E$32*CE386</f>
        <v>4.5371955317225545</v>
      </c>
      <c r="CH386" s="125">
        <f t="shared" ref="CH386:CH402" si="499">CF386+CG386</f>
        <v>10.16654038443475</v>
      </c>
      <c r="CI386" s="125"/>
      <c r="CJ386" s="125"/>
      <c r="CK386" s="125"/>
      <c r="CL386" s="125"/>
      <c r="CM386" s="125"/>
      <c r="CN386" s="125"/>
      <c r="CO386" s="125"/>
      <c r="CP386" s="125"/>
      <c r="CQ386" s="125"/>
      <c r="CR386" s="125"/>
      <c r="CS386" s="125"/>
      <c r="CT386" s="125"/>
      <c r="CU386" s="125"/>
      <c r="CV386" s="125"/>
      <c r="CW386" s="125"/>
      <c r="CX386" s="125"/>
      <c r="CY386" s="125"/>
      <c r="CZ386" s="125"/>
      <c r="DA386" s="125"/>
      <c r="DB386" s="125"/>
      <c r="DC386" s="125"/>
      <c r="DD386" s="125"/>
      <c r="DE386" s="125"/>
      <c r="DF386" s="125"/>
      <c r="DG386" s="125"/>
      <c r="DH386" s="125"/>
      <c r="DI386" s="125"/>
      <c r="DJ386" s="125"/>
      <c r="DK386" s="125"/>
      <c r="DL386" s="125"/>
      <c r="DM386" s="125"/>
      <c r="DN386" s="125"/>
      <c r="DO386" s="125"/>
      <c r="DP386" s="125"/>
      <c r="DQ386" s="125"/>
      <c r="DR386" s="125"/>
      <c r="DS386" s="125"/>
      <c r="DT386" s="125"/>
      <c r="DU386" s="125"/>
      <c r="DV386" s="125"/>
      <c r="DW386" s="125"/>
      <c r="DX386" s="125"/>
      <c r="DY386" s="125"/>
      <c r="DZ386" s="125"/>
      <c r="EA386" s="125"/>
      <c r="EB386" s="125"/>
      <c r="EC386" s="125"/>
      <c r="ED386" s="125"/>
      <c r="EE386" s="125"/>
      <c r="EF386" s="125"/>
      <c r="EG386" s="125"/>
      <c r="EH386" s="125"/>
      <c r="EI386" s="125"/>
      <c r="EJ386" s="125"/>
      <c r="EK386" s="125"/>
      <c r="EL386" s="125"/>
      <c r="EM386" s="125"/>
      <c r="EN386" s="125"/>
      <c r="EO386" s="125"/>
      <c r="EP386" s="125"/>
      <c r="EQ386" s="125"/>
      <c r="ER386" s="125"/>
      <c r="ES386" s="125"/>
      <c r="ET386" s="125"/>
      <c r="EU386" s="125">
        <f>'O duodécuplo'!$F$97*$D386*$B386</f>
        <v>112.58689705424391</v>
      </c>
      <c r="EV386" s="125">
        <f t="shared" si="420"/>
        <v>41.161780410018793</v>
      </c>
      <c r="EW386" s="125">
        <f t="shared" si="421"/>
        <v>153.7486774642627</v>
      </c>
    </row>
    <row r="387" spans="2:153" s="38" customFormat="1" ht="15.95" customHeight="1" x14ac:dyDescent="0.25">
      <c r="B387" s="98">
        <f t="shared" si="422"/>
        <v>21</v>
      </c>
      <c r="C387" s="125">
        <f t="shared" si="423"/>
        <v>331.89250191718025</v>
      </c>
      <c r="D387" s="125">
        <f t="shared" si="424"/>
        <v>172.68691784889253</v>
      </c>
      <c r="E387" s="125">
        <f t="shared" si="417"/>
        <v>159.20558406828772</v>
      </c>
      <c r="F387" s="140">
        <f t="shared" si="418"/>
        <v>0.92193193353302261</v>
      </c>
      <c r="G387" s="125">
        <v>0</v>
      </c>
      <c r="H387" s="125">
        <f t="shared" si="425"/>
        <v>5.4569066040250043</v>
      </c>
      <c r="I387" s="125">
        <v>0</v>
      </c>
      <c r="J387" s="125">
        <f t="shared" si="419"/>
        <v>5.4569066040250043</v>
      </c>
      <c r="K387" s="125">
        <f t="shared" si="426"/>
        <v>5.4569066040250043</v>
      </c>
      <c r="L387" s="125">
        <f t="shared" si="428"/>
        <v>5.4569066040250043</v>
      </c>
      <c r="M387" s="125">
        <f t="shared" si="429"/>
        <v>0.17243824868719015</v>
      </c>
      <c r="N387" s="125">
        <f t="shared" si="427"/>
        <v>5.6293448527121948</v>
      </c>
      <c r="O387" s="125">
        <f t="shared" si="430"/>
        <v>11.086251456737198</v>
      </c>
      <c r="P387" s="125">
        <f t="shared" si="432"/>
        <v>5.4569066040250043</v>
      </c>
      <c r="Q387" s="125">
        <f t="shared" si="433"/>
        <v>0.35032554603289551</v>
      </c>
      <c r="R387" s="125">
        <f t="shared" si="431"/>
        <v>5.8072321500578994</v>
      </c>
      <c r="S387" s="125">
        <f t="shared" si="434"/>
        <v>16.893483606795098</v>
      </c>
      <c r="T387" s="125">
        <f t="shared" si="436"/>
        <v>5.4569066040250043</v>
      </c>
      <c r="U387" s="125">
        <f t="shared" si="437"/>
        <v>0.53383408197472515</v>
      </c>
      <c r="V387" s="125">
        <f t="shared" si="435"/>
        <v>5.9907406859997296</v>
      </c>
      <c r="W387" s="125">
        <f t="shared" si="438"/>
        <v>22.884224292794826</v>
      </c>
      <c r="X387" s="125">
        <f t="shared" si="440"/>
        <v>5.4569066040250043</v>
      </c>
      <c r="Y387" s="125">
        <f t="shared" si="441"/>
        <v>0.72314148765231656</v>
      </c>
      <c r="Z387" s="125">
        <f t="shared" si="439"/>
        <v>6.1800480916773211</v>
      </c>
      <c r="AA387" s="125">
        <f t="shared" si="442"/>
        <v>29.064272384472147</v>
      </c>
      <c r="AB387" s="125">
        <f t="shared" si="444"/>
        <v>5.4569066040250043</v>
      </c>
      <c r="AC387" s="125">
        <f t="shared" si="445"/>
        <v>0.91843100734931993</v>
      </c>
      <c r="AD387" s="125">
        <f t="shared" si="443"/>
        <v>6.3753376113743245</v>
      </c>
      <c r="AE387" s="125">
        <f t="shared" si="446"/>
        <v>35.439609995846475</v>
      </c>
      <c r="AF387" s="125">
        <f t="shared" si="448"/>
        <v>5.4569066040250043</v>
      </c>
      <c r="AG387" s="125">
        <f t="shared" si="449"/>
        <v>1.1198916758687487</v>
      </c>
      <c r="AH387" s="125">
        <f t="shared" si="447"/>
        <v>6.5767982798937528</v>
      </c>
      <c r="AI387" s="125">
        <f t="shared" si="450"/>
        <v>42.016408275740226</v>
      </c>
      <c r="AJ387" s="125">
        <f t="shared" si="452"/>
        <v>5.4569066040250043</v>
      </c>
      <c r="AK387" s="125">
        <f t="shared" si="453"/>
        <v>1.3277185015133912</v>
      </c>
      <c r="AL387" s="125">
        <f t="shared" si="451"/>
        <v>6.7846251055383959</v>
      </c>
      <c r="AM387" s="125">
        <f t="shared" si="454"/>
        <v>48.801033381278614</v>
      </c>
      <c r="AN387" s="125">
        <f t="shared" si="456"/>
        <v>5.4569066040250043</v>
      </c>
      <c r="AO387" s="125">
        <f t="shared" si="457"/>
        <v>1.5421126548484043</v>
      </c>
      <c r="AP387" s="125">
        <f t="shared" si="455"/>
        <v>6.9990192588734086</v>
      </c>
      <c r="AQ387" s="125">
        <f t="shared" si="458"/>
        <v>55.800052640152025</v>
      </c>
      <c r="AR387" s="125">
        <f t="shared" si="460"/>
        <v>5.4569066040250043</v>
      </c>
      <c r="AS387" s="125">
        <f t="shared" si="461"/>
        <v>1.7632816634288042</v>
      </c>
      <c r="AT387" s="125">
        <f t="shared" si="459"/>
        <v>7.2201882674538087</v>
      </c>
      <c r="AU387" s="125">
        <f t="shared" si="462"/>
        <v>63.020240907605832</v>
      </c>
      <c r="AV387" s="125">
        <f t="shared" si="464"/>
        <v>5.4569066040250043</v>
      </c>
      <c r="AW387" s="125">
        <f t="shared" si="465"/>
        <v>1.9914396126803444</v>
      </c>
      <c r="AX387" s="125">
        <f t="shared" si="463"/>
        <v>7.4483462167053487</v>
      </c>
      <c r="AY387" s="125">
        <f t="shared" si="466"/>
        <v>70.468587124311171</v>
      </c>
      <c r="AZ387" s="125">
        <f t="shared" si="468"/>
        <v>5.4569066040250043</v>
      </c>
      <c r="BA387" s="125">
        <f t="shared" si="469"/>
        <v>2.2268073531282333</v>
      </c>
      <c r="BB387" s="125">
        <f t="shared" si="467"/>
        <v>7.6837139571532376</v>
      </c>
      <c r="BC387" s="125">
        <f t="shared" si="470"/>
        <v>78.152301081464415</v>
      </c>
      <c r="BD387" s="125">
        <f t="shared" si="472"/>
        <v>5.4569066040250043</v>
      </c>
      <c r="BE387" s="125">
        <f t="shared" si="473"/>
        <v>2.4696127141742759</v>
      </c>
      <c r="BF387" s="125">
        <f t="shared" si="471"/>
        <v>7.9265193181992801</v>
      </c>
      <c r="BG387" s="125">
        <f t="shared" si="474"/>
        <v>86.078820399663698</v>
      </c>
      <c r="BH387" s="125">
        <f t="shared" si="476"/>
        <v>5.4569066040250043</v>
      </c>
      <c r="BI387" s="125">
        <f t="shared" si="477"/>
        <v>2.7200907246293733</v>
      </c>
      <c r="BJ387" s="125">
        <f t="shared" si="475"/>
        <v>8.1769973286543767</v>
      </c>
      <c r="BK387" s="125">
        <f t="shared" si="478"/>
        <v>94.255817728318078</v>
      </c>
      <c r="BL387" s="125">
        <f t="shared" si="480"/>
        <v>5.4569066040250043</v>
      </c>
      <c r="BM387" s="125">
        <f t="shared" si="481"/>
        <v>2.9784838402148517</v>
      </c>
      <c r="BN387" s="125">
        <f t="shared" si="479"/>
        <v>8.4353904442398555</v>
      </c>
      <c r="BO387" s="125">
        <f t="shared" si="482"/>
        <v>102.69120817255794</v>
      </c>
      <c r="BP387" s="125">
        <f t="shared" si="484"/>
        <v>5.4569066040250043</v>
      </c>
      <c r="BQ387" s="125">
        <f t="shared" si="485"/>
        <v>3.2450421782528309</v>
      </c>
      <c r="BR387" s="125">
        <f t="shared" si="483"/>
        <v>8.7019487822778352</v>
      </c>
      <c r="BS387" s="125">
        <f t="shared" si="486"/>
        <v>111.39315695483577</v>
      </c>
      <c r="BT387" s="125">
        <f t="shared" si="488"/>
        <v>5.4569066040250043</v>
      </c>
      <c r="BU387" s="125">
        <f t="shared" si="489"/>
        <v>3.520023759772811</v>
      </c>
      <c r="BV387" s="125">
        <f t="shared" si="487"/>
        <v>8.9769303637978162</v>
      </c>
      <c r="BW387" s="125">
        <f t="shared" si="490"/>
        <v>120.37008731863359</v>
      </c>
      <c r="BX387" s="125">
        <f t="shared" si="492"/>
        <v>5.4569066040250043</v>
      </c>
      <c r="BY387" s="125">
        <f t="shared" si="493"/>
        <v>3.8036947592688217</v>
      </c>
      <c r="BZ387" s="125">
        <f t="shared" si="491"/>
        <v>9.2606013632938264</v>
      </c>
      <c r="CA387" s="125">
        <f t="shared" si="494"/>
        <v>129.63068868192741</v>
      </c>
      <c r="CB387" s="125">
        <f t="shared" si="496"/>
        <v>5.4569066040250043</v>
      </c>
      <c r="CC387" s="125">
        <f t="shared" si="497"/>
        <v>4.0963297623489066</v>
      </c>
      <c r="CD387" s="125">
        <f t="shared" si="495"/>
        <v>9.5532363663739108</v>
      </c>
      <c r="CE387" s="125">
        <f t="shared" si="498"/>
        <v>139.18392504830132</v>
      </c>
      <c r="CF387" s="125">
        <f t="shared" ref="CF387:CF402" si="500">$E$32*$D387</f>
        <v>5.4569066040250043</v>
      </c>
      <c r="CG387" s="125">
        <f t="shared" ref="CG387:CG402" si="501">$E$32*CE387</f>
        <v>4.398212031526322</v>
      </c>
      <c r="CH387" s="125">
        <f t="shared" si="499"/>
        <v>9.8551186355513263</v>
      </c>
      <c r="CI387" s="125">
        <f t="shared" ref="CI387:CI402" si="502">CE387+CF387+CG387</f>
        <v>149.03904368385264</v>
      </c>
      <c r="CJ387" s="125">
        <f>$E$32*$D387</f>
        <v>5.4569066040250043</v>
      </c>
      <c r="CK387" s="125">
        <f>$E$32*CI387</f>
        <v>4.7096337804097441</v>
      </c>
      <c r="CL387" s="125">
        <f t="shared" ref="CL387:CL402" si="503">CJ387+CK387</f>
        <v>10.166540384434748</v>
      </c>
      <c r="CM387" s="125"/>
      <c r="CN387" s="125"/>
      <c r="CO387" s="125"/>
      <c r="CP387" s="125"/>
      <c r="CQ387" s="125"/>
      <c r="CR387" s="125"/>
      <c r="CS387" s="125"/>
      <c r="CT387" s="125"/>
      <c r="CU387" s="125"/>
      <c r="CV387" s="125"/>
      <c r="CW387" s="125"/>
      <c r="CX387" s="125"/>
      <c r="CY387" s="125"/>
      <c r="CZ387" s="125"/>
      <c r="DA387" s="125"/>
      <c r="DB387" s="125"/>
      <c r="DC387" s="125"/>
      <c r="DD387" s="125"/>
      <c r="DE387" s="125"/>
      <c r="DF387" s="125"/>
      <c r="DG387" s="125"/>
      <c r="DH387" s="125"/>
      <c r="DI387" s="125"/>
      <c r="DJ387" s="125"/>
      <c r="DK387" s="125"/>
      <c r="DL387" s="125"/>
      <c r="DM387" s="125"/>
      <c r="DN387" s="125"/>
      <c r="DO387" s="125"/>
      <c r="DP387" s="125"/>
      <c r="DQ387" s="125"/>
      <c r="DR387" s="125"/>
      <c r="DS387" s="125"/>
      <c r="DT387" s="125"/>
      <c r="DU387" s="125"/>
      <c r="DV387" s="125"/>
      <c r="DW387" s="125"/>
      <c r="DX387" s="125"/>
      <c r="DY387" s="125"/>
      <c r="DZ387" s="125"/>
      <c r="EA387" s="125"/>
      <c r="EB387" s="125"/>
      <c r="EC387" s="125"/>
      <c r="ED387" s="125"/>
      <c r="EE387" s="125"/>
      <c r="EF387" s="125"/>
      <c r="EG387" s="125"/>
      <c r="EH387" s="125"/>
      <c r="EI387" s="125"/>
      <c r="EJ387" s="125"/>
      <c r="EK387" s="125"/>
      <c r="EL387" s="125"/>
      <c r="EM387" s="125"/>
      <c r="EN387" s="125"/>
      <c r="EO387" s="125"/>
      <c r="EP387" s="125"/>
      <c r="EQ387" s="125"/>
      <c r="ER387" s="125"/>
      <c r="ES387" s="125"/>
      <c r="ET387" s="125"/>
      <c r="EU387" s="125">
        <f>'O duodécuplo'!$F$97*$D387*$B387</f>
        <v>114.59503868452509</v>
      </c>
      <c r="EV387" s="125">
        <f t="shared" si="420"/>
        <v>44.610545383762627</v>
      </c>
      <c r="EW387" s="125">
        <f t="shared" si="421"/>
        <v>159.20558406828772</v>
      </c>
    </row>
    <row r="388" spans="2:153" s="38" customFormat="1" ht="15.95" customHeight="1" x14ac:dyDescent="0.25">
      <c r="B388" s="98">
        <f t="shared" si="422"/>
        <v>22</v>
      </c>
      <c r="C388" s="125">
        <f t="shared" si="423"/>
        <v>331.89250191718025</v>
      </c>
      <c r="D388" s="125">
        <f t="shared" si="424"/>
        <v>167.39716736030684</v>
      </c>
      <c r="E388" s="125">
        <f t="shared" si="417"/>
        <v>164.49533455687342</v>
      </c>
      <c r="F388" s="140">
        <f t="shared" si="418"/>
        <v>0.98266498263266611</v>
      </c>
      <c r="G388" s="125">
        <v>0</v>
      </c>
      <c r="H388" s="125">
        <f t="shared" si="425"/>
        <v>5.289750488585697</v>
      </c>
      <c r="I388" s="125">
        <v>0</v>
      </c>
      <c r="J388" s="125">
        <f t="shared" si="419"/>
        <v>5.289750488585697</v>
      </c>
      <c r="K388" s="125">
        <f t="shared" si="426"/>
        <v>5.289750488585697</v>
      </c>
      <c r="L388" s="125">
        <f t="shared" si="428"/>
        <v>5.289750488585697</v>
      </c>
      <c r="M388" s="125">
        <f t="shared" si="429"/>
        <v>0.16715611543930803</v>
      </c>
      <c r="N388" s="125">
        <f t="shared" si="427"/>
        <v>5.4569066040250052</v>
      </c>
      <c r="O388" s="125">
        <f t="shared" si="430"/>
        <v>10.746657092610702</v>
      </c>
      <c r="P388" s="125">
        <f t="shared" si="432"/>
        <v>5.289750488585697</v>
      </c>
      <c r="Q388" s="125">
        <f t="shared" si="433"/>
        <v>0.33959436412649824</v>
      </c>
      <c r="R388" s="125">
        <f t="shared" si="431"/>
        <v>5.6293448527121956</v>
      </c>
      <c r="S388" s="125">
        <f t="shared" si="434"/>
        <v>16.376001945322898</v>
      </c>
      <c r="T388" s="125">
        <f t="shared" si="436"/>
        <v>5.289750488585697</v>
      </c>
      <c r="U388" s="125">
        <f t="shared" si="437"/>
        <v>0.51748166147220365</v>
      </c>
      <c r="V388" s="125">
        <f t="shared" si="435"/>
        <v>5.8072321500579003</v>
      </c>
      <c r="W388" s="125">
        <f t="shared" si="438"/>
        <v>22.183234095380797</v>
      </c>
      <c r="X388" s="125">
        <f t="shared" si="440"/>
        <v>5.289750488585697</v>
      </c>
      <c r="Y388" s="125">
        <f t="shared" si="441"/>
        <v>0.70099019741403323</v>
      </c>
      <c r="Z388" s="125">
        <f t="shared" si="439"/>
        <v>5.9907406859997305</v>
      </c>
      <c r="AA388" s="125">
        <f t="shared" si="442"/>
        <v>28.173974781380526</v>
      </c>
      <c r="AB388" s="125">
        <f t="shared" si="444"/>
        <v>5.289750488585697</v>
      </c>
      <c r="AC388" s="125">
        <f t="shared" si="445"/>
        <v>0.89029760309162476</v>
      </c>
      <c r="AD388" s="125">
        <f t="shared" si="443"/>
        <v>6.1800480916773219</v>
      </c>
      <c r="AE388" s="125">
        <f t="shared" si="446"/>
        <v>34.354022873057851</v>
      </c>
      <c r="AF388" s="125">
        <f t="shared" si="448"/>
        <v>5.289750488585697</v>
      </c>
      <c r="AG388" s="125">
        <f t="shared" si="449"/>
        <v>1.0855871227886282</v>
      </c>
      <c r="AH388" s="125">
        <f t="shared" si="447"/>
        <v>6.3753376113743254</v>
      </c>
      <c r="AI388" s="125">
        <f t="shared" si="450"/>
        <v>40.729360484432178</v>
      </c>
      <c r="AJ388" s="125">
        <f t="shared" si="452"/>
        <v>5.289750488585697</v>
      </c>
      <c r="AK388" s="125">
        <f t="shared" si="453"/>
        <v>1.2870477913080569</v>
      </c>
      <c r="AL388" s="125">
        <f t="shared" si="451"/>
        <v>6.5767982798937537</v>
      </c>
      <c r="AM388" s="125">
        <f t="shared" si="454"/>
        <v>47.306158764325929</v>
      </c>
      <c r="AN388" s="125">
        <f t="shared" si="456"/>
        <v>5.289750488585697</v>
      </c>
      <c r="AO388" s="125">
        <f t="shared" si="457"/>
        <v>1.4948746169526994</v>
      </c>
      <c r="AP388" s="125">
        <f t="shared" si="455"/>
        <v>6.7846251055383959</v>
      </c>
      <c r="AQ388" s="125">
        <f t="shared" si="458"/>
        <v>54.090783869864325</v>
      </c>
      <c r="AR388" s="125">
        <f t="shared" si="460"/>
        <v>5.289750488585697</v>
      </c>
      <c r="AS388" s="125">
        <f t="shared" si="461"/>
        <v>1.7092687702877127</v>
      </c>
      <c r="AT388" s="125">
        <f t="shared" si="459"/>
        <v>6.9990192588734095</v>
      </c>
      <c r="AU388" s="125">
        <f t="shared" si="462"/>
        <v>61.089803128737735</v>
      </c>
      <c r="AV388" s="125">
        <f t="shared" si="464"/>
        <v>5.289750488585697</v>
      </c>
      <c r="AW388" s="125">
        <f t="shared" si="465"/>
        <v>1.9304377788681126</v>
      </c>
      <c r="AX388" s="125">
        <f t="shared" si="463"/>
        <v>7.2201882674538096</v>
      </c>
      <c r="AY388" s="125">
        <f t="shared" si="466"/>
        <v>68.309991396191549</v>
      </c>
      <c r="AZ388" s="125">
        <f t="shared" si="468"/>
        <v>5.289750488585697</v>
      </c>
      <c r="BA388" s="125">
        <f t="shared" si="469"/>
        <v>2.1585957281196531</v>
      </c>
      <c r="BB388" s="125">
        <f t="shared" si="467"/>
        <v>7.4483462167053496</v>
      </c>
      <c r="BC388" s="125">
        <f t="shared" si="470"/>
        <v>75.758337612896895</v>
      </c>
      <c r="BD388" s="125">
        <f t="shared" si="472"/>
        <v>5.289750488585697</v>
      </c>
      <c r="BE388" s="125">
        <f t="shared" si="473"/>
        <v>2.3939634685675419</v>
      </c>
      <c r="BF388" s="125">
        <f t="shared" si="471"/>
        <v>7.6837139571532393</v>
      </c>
      <c r="BG388" s="125">
        <f t="shared" si="474"/>
        <v>83.44205157005014</v>
      </c>
      <c r="BH388" s="125">
        <f t="shared" si="476"/>
        <v>5.289750488585697</v>
      </c>
      <c r="BI388" s="125">
        <f t="shared" si="477"/>
        <v>2.6367688296135845</v>
      </c>
      <c r="BJ388" s="125">
        <f t="shared" si="475"/>
        <v>7.926519318199281</v>
      </c>
      <c r="BK388" s="125">
        <f t="shared" si="478"/>
        <v>91.368570888249423</v>
      </c>
      <c r="BL388" s="125">
        <f t="shared" si="480"/>
        <v>5.289750488585697</v>
      </c>
      <c r="BM388" s="125">
        <f t="shared" si="481"/>
        <v>2.8872468400686819</v>
      </c>
      <c r="BN388" s="125">
        <f t="shared" si="479"/>
        <v>8.1769973286543784</v>
      </c>
      <c r="BO388" s="125">
        <f t="shared" si="482"/>
        <v>99.545568216903803</v>
      </c>
      <c r="BP388" s="125">
        <f t="shared" si="484"/>
        <v>5.289750488585697</v>
      </c>
      <c r="BQ388" s="125">
        <f t="shared" si="485"/>
        <v>3.1456399556541603</v>
      </c>
      <c r="BR388" s="125">
        <f t="shared" si="483"/>
        <v>8.4353904442398573</v>
      </c>
      <c r="BS388" s="125">
        <f t="shared" si="486"/>
        <v>107.98095866114366</v>
      </c>
      <c r="BT388" s="125">
        <f t="shared" si="488"/>
        <v>5.289750488585697</v>
      </c>
      <c r="BU388" s="125">
        <f t="shared" si="489"/>
        <v>3.41219829369214</v>
      </c>
      <c r="BV388" s="125">
        <f t="shared" si="487"/>
        <v>8.701948782277837</v>
      </c>
      <c r="BW388" s="125">
        <f t="shared" si="490"/>
        <v>116.6829074434215</v>
      </c>
      <c r="BX388" s="125">
        <f t="shared" si="492"/>
        <v>5.289750488585697</v>
      </c>
      <c r="BY388" s="125">
        <f t="shared" si="493"/>
        <v>3.6871798752121197</v>
      </c>
      <c r="BZ388" s="125">
        <f t="shared" si="491"/>
        <v>8.9769303637978162</v>
      </c>
      <c r="CA388" s="125">
        <f t="shared" si="494"/>
        <v>125.65983780721932</v>
      </c>
      <c r="CB388" s="125">
        <f t="shared" si="496"/>
        <v>5.289750488585697</v>
      </c>
      <c r="CC388" s="125">
        <f t="shared" si="497"/>
        <v>3.9708508747081308</v>
      </c>
      <c r="CD388" s="125">
        <f t="shared" si="495"/>
        <v>9.2606013632938282</v>
      </c>
      <c r="CE388" s="125">
        <f t="shared" si="498"/>
        <v>134.92043917051316</v>
      </c>
      <c r="CF388" s="125">
        <f t="shared" si="500"/>
        <v>5.289750488585697</v>
      </c>
      <c r="CG388" s="125">
        <f t="shared" si="501"/>
        <v>4.2634858777882165</v>
      </c>
      <c r="CH388" s="125">
        <f t="shared" si="499"/>
        <v>9.5532363663739126</v>
      </c>
      <c r="CI388" s="125">
        <f t="shared" si="502"/>
        <v>144.47367553688707</v>
      </c>
      <c r="CJ388" s="125">
        <f t="shared" ref="CJ388:CJ402" si="504">$E$32*$D388</f>
        <v>5.289750488585697</v>
      </c>
      <c r="CK388" s="125">
        <f t="shared" ref="CK388:CK402" si="505">$E$32*CI388</f>
        <v>4.565368146965632</v>
      </c>
      <c r="CL388" s="125">
        <f t="shared" si="503"/>
        <v>9.8551186355513281</v>
      </c>
      <c r="CM388" s="125">
        <f t="shared" ref="CM388:CM402" si="506">CI388+CJ388+CK388</f>
        <v>154.32879417243839</v>
      </c>
      <c r="CN388" s="125">
        <f>$E$32*$D388</f>
        <v>5.289750488585697</v>
      </c>
      <c r="CO388" s="125">
        <f>$E$32*CM388</f>
        <v>4.8767898958490541</v>
      </c>
      <c r="CP388" s="125">
        <f t="shared" ref="CP388:CP402" si="507">CN388+CO388</f>
        <v>10.16654038443475</v>
      </c>
      <c r="CQ388" s="125"/>
      <c r="CR388" s="125"/>
      <c r="CS388" s="125"/>
      <c r="CT388" s="125"/>
      <c r="CU388" s="125"/>
      <c r="CV388" s="125"/>
      <c r="CW388" s="125"/>
      <c r="CX388" s="125"/>
      <c r="CY388" s="125"/>
      <c r="CZ388" s="125"/>
      <c r="DA388" s="125"/>
      <c r="DB388" s="125"/>
      <c r="DC388" s="125"/>
      <c r="DD388" s="125"/>
      <c r="DE388" s="125"/>
      <c r="DF388" s="125"/>
      <c r="DG388" s="125"/>
      <c r="DH388" s="125"/>
      <c r="DI388" s="125"/>
      <c r="DJ388" s="125"/>
      <c r="DK388" s="125"/>
      <c r="DL388" s="125"/>
      <c r="DM388" s="125"/>
      <c r="DN388" s="125"/>
      <c r="DO388" s="125"/>
      <c r="DP388" s="125"/>
      <c r="DQ388" s="125"/>
      <c r="DR388" s="125"/>
      <c r="DS388" s="125"/>
      <c r="DT388" s="125"/>
      <c r="DU388" s="125"/>
      <c r="DV388" s="125"/>
      <c r="DW388" s="125"/>
      <c r="DX388" s="125"/>
      <c r="DY388" s="125"/>
      <c r="DZ388" s="125"/>
      <c r="EA388" s="125"/>
      <c r="EB388" s="125"/>
      <c r="EC388" s="125"/>
      <c r="ED388" s="125"/>
      <c r="EE388" s="125"/>
      <c r="EF388" s="125"/>
      <c r="EG388" s="125"/>
      <c r="EH388" s="125"/>
      <c r="EI388" s="125"/>
      <c r="EJ388" s="125"/>
      <c r="EK388" s="125"/>
      <c r="EL388" s="125"/>
      <c r="EM388" s="125"/>
      <c r="EN388" s="125"/>
      <c r="EO388" s="125"/>
      <c r="EP388" s="125"/>
      <c r="EQ388" s="125"/>
      <c r="ER388" s="125"/>
      <c r="ES388" s="125"/>
      <c r="ET388" s="125"/>
      <c r="EU388" s="125">
        <f>'O duodécuplo'!$F$97*$D388*$B388</f>
        <v>116.37451074888533</v>
      </c>
      <c r="EV388" s="125">
        <f t="shared" si="420"/>
        <v>48.120823807988089</v>
      </c>
      <c r="EW388" s="125">
        <f t="shared" si="421"/>
        <v>164.49533455687342</v>
      </c>
    </row>
    <row r="389" spans="2:153" s="38" customFormat="1" ht="15.95" customHeight="1" x14ac:dyDescent="0.25">
      <c r="B389" s="98">
        <f t="shared" si="422"/>
        <v>23</v>
      </c>
      <c r="C389" s="125">
        <f t="shared" si="423"/>
        <v>331.89250191718025</v>
      </c>
      <c r="D389" s="125">
        <f t="shared" si="424"/>
        <v>162.26945265636564</v>
      </c>
      <c r="E389" s="125">
        <f t="shared" si="417"/>
        <v>169.62304926081461</v>
      </c>
      <c r="F389" s="140">
        <f t="shared" si="418"/>
        <v>1.0453171960838588</v>
      </c>
      <c r="G389" s="125">
        <v>0</v>
      </c>
      <c r="H389" s="125">
        <f t="shared" si="425"/>
        <v>5.1277147039411552</v>
      </c>
      <c r="I389" s="125">
        <v>0</v>
      </c>
      <c r="J389" s="125">
        <f t="shared" si="419"/>
        <v>5.1277147039411552</v>
      </c>
      <c r="K389" s="125">
        <f t="shared" si="426"/>
        <v>5.1277147039411552</v>
      </c>
      <c r="L389" s="125">
        <f t="shared" si="428"/>
        <v>5.1277147039411552</v>
      </c>
      <c r="M389" s="125">
        <f t="shared" si="429"/>
        <v>0.16203578464454052</v>
      </c>
      <c r="N389" s="125">
        <f t="shared" si="427"/>
        <v>5.2897504885856961</v>
      </c>
      <c r="O389" s="125">
        <f t="shared" si="430"/>
        <v>10.417465192526851</v>
      </c>
      <c r="P389" s="125">
        <f t="shared" si="432"/>
        <v>5.1277147039411552</v>
      </c>
      <c r="Q389" s="125">
        <f t="shared" si="433"/>
        <v>0.32919190008384852</v>
      </c>
      <c r="R389" s="125">
        <f t="shared" si="431"/>
        <v>5.4569066040250034</v>
      </c>
      <c r="S389" s="125">
        <f t="shared" si="434"/>
        <v>15.874371796551856</v>
      </c>
      <c r="T389" s="125">
        <f t="shared" si="436"/>
        <v>5.1277147039411552</v>
      </c>
      <c r="U389" s="125">
        <f t="shared" si="437"/>
        <v>0.50163014877103873</v>
      </c>
      <c r="V389" s="125">
        <f t="shared" si="435"/>
        <v>5.6293448527121939</v>
      </c>
      <c r="W389" s="125">
        <f t="shared" si="438"/>
        <v>21.503716649264049</v>
      </c>
      <c r="X389" s="125">
        <f t="shared" si="440"/>
        <v>5.1277147039411552</v>
      </c>
      <c r="Y389" s="125">
        <f t="shared" si="441"/>
        <v>0.67951744611674403</v>
      </c>
      <c r="Z389" s="125">
        <f t="shared" si="439"/>
        <v>5.8072321500578994</v>
      </c>
      <c r="AA389" s="125">
        <f t="shared" si="442"/>
        <v>27.310948799321949</v>
      </c>
      <c r="AB389" s="125">
        <f t="shared" si="444"/>
        <v>5.1277147039411552</v>
      </c>
      <c r="AC389" s="125">
        <f t="shared" si="445"/>
        <v>0.86302598205857362</v>
      </c>
      <c r="AD389" s="125">
        <f t="shared" si="443"/>
        <v>5.9907406859997288</v>
      </c>
      <c r="AE389" s="125">
        <f t="shared" si="446"/>
        <v>33.301689485321674</v>
      </c>
      <c r="AF389" s="125">
        <f t="shared" si="448"/>
        <v>5.1277147039411552</v>
      </c>
      <c r="AG389" s="125">
        <f t="shared" si="449"/>
        <v>1.0523333877361649</v>
      </c>
      <c r="AH389" s="125">
        <f t="shared" si="447"/>
        <v>6.1800480916773202</v>
      </c>
      <c r="AI389" s="125">
        <f t="shared" si="450"/>
        <v>39.481737576998988</v>
      </c>
      <c r="AJ389" s="125">
        <f t="shared" si="452"/>
        <v>5.1277147039411552</v>
      </c>
      <c r="AK389" s="125">
        <f t="shared" si="453"/>
        <v>1.2476229074331682</v>
      </c>
      <c r="AL389" s="125">
        <f t="shared" si="451"/>
        <v>6.3753376113743236</v>
      </c>
      <c r="AM389" s="125">
        <f t="shared" si="454"/>
        <v>45.857075188373315</v>
      </c>
      <c r="AN389" s="125">
        <f t="shared" si="456"/>
        <v>5.1277147039411552</v>
      </c>
      <c r="AO389" s="125">
        <f t="shared" si="457"/>
        <v>1.4490835759525968</v>
      </c>
      <c r="AP389" s="125">
        <f t="shared" si="455"/>
        <v>6.5767982798937519</v>
      </c>
      <c r="AQ389" s="125">
        <f t="shared" si="458"/>
        <v>52.433873468267066</v>
      </c>
      <c r="AR389" s="125">
        <f t="shared" si="460"/>
        <v>5.1277147039411552</v>
      </c>
      <c r="AS389" s="125">
        <f t="shared" si="461"/>
        <v>1.6569104015972393</v>
      </c>
      <c r="AT389" s="125">
        <f t="shared" si="459"/>
        <v>6.7846251055383942</v>
      </c>
      <c r="AU389" s="125">
        <f t="shared" si="462"/>
        <v>59.218498573805455</v>
      </c>
      <c r="AV389" s="125">
        <f t="shared" si="464"/>
        <v>5.1277147039411552</v>
      </c>
      <c r="AW389" s="125">
        <f t="shared" si="465"/>
        <v>1.8713045549322525</v>
      </c>
      <c r="AX389" s="125">
        <f t="shared" si="463"/>
        <v>6.9990192588734077</v>
      </c>
      <c r="AY389" s="125">
        <f t="shared" si="466"/>
        <v>66.217517832678865</v>
      </c>
      <c r="AZ389" s="125">
        <f t="shared" si="468"/>
        <v>5.1277147039411552</v>
      </c>
      <c r="BA389" s="125">
        <f t="shared" si="469"/>
        <v>2.0924735635126526</v>
      </c>
      <c r="BB389" s="125">
        <f t="shared" si="467"/>
        <v>7.2201882674538078</v>
      </c>
      <c r="BC389" s="125">
        <f t="shared" si="470"/>
        <v>73.437706100132672</v>
      </c>
      <c r="BD389" s="125">
        <f t="shared" si="472"/>
        <v>5.1277147039411552</v>
      </c>
      <c r="BE389" s="125">
        <f t="shared" si="473"/>
        <v>2.3206315127641925</v>
      </c>
      <c r="BF389" s="125">
        <f t="shared" si="471"/>
        <v>7.4483462167053478</v>
      </c>
      <c r="BG389" s="125">
        <f t="shared" si="474"/>
        <v>80.886052316838018</v>
      </c>
      <c r="BH389" s="125">
        <f t="shared" si="476"/>
        <v>5.1277147039411552</v>
      </c>
      <c r="BI389" s="125">
        <f t="shared" si="477"/>
        <v>2.5559992532120814</v>
      </c>
      <c r="BJ389" s="125">
        <f t="shared" si="475"/>
        <v>7.6837139571532367</v>
      </c>
      <c r="BK389" s="125">
        <f t="shared" si="478"/>
        <v>88.569766273991249</v>
      </c>
      <c r="BL389" s="125">
        <f t="shared" si="480"/>
        <v>5.1277147039411552</v>
      </c>
      <c r="BM389" s="125">
        <f t="shared" si="481"/>
        <v>2.7988046142581235</v>
      </c>
      <c r="BN389" s="125">
        <f t="shared" si="479"/>
        <v>7.9265193181992792</v>
      </c>
      <c r="BO389" s="125">
        <f t="shared" si="482"/>
        <v>96.496285592190517</v>
      </c>
      <c r="BP389" s="125">
        <f t="shared" si="484"/>
        <v>5.1277147039411552</v>
      </c>
      <c r="BQ389" s="125">
        <f t="shared" si="485"/>
        <v>3.0492826247132205</v>
      </c>
      <c r="BR389" s="125">
        <f t="shared" si="483"/>
        <v>8.1769973286543767</v>
      </c>
      <c r="BS389" s="125">
        <f t="shared" si="486"/>
        <v>104.67328292084488</v>
      </c>
      <c r="BT389" s="125">
        <f t="shared" si="488"/>
        <v>5.1277147039411552</v>
      </c>
      <c r="BU389" s="125">
        <f t="shared" si="489"/>
        <v>3.3076757402986985</v>
      </c>
      <c r="BV389" s="125">
        <f t="shared" si="487"/>
        <v>8.4353904442398537</v>
      </c>
      <c r="BW389" s="125">
        <f t="shared" si="490"/>
        <v>113.10867336508474</v>
      </c>
      <c r="BX389" s="125">
        <f t="shared" si="492"/>
        <v>5.1277147039411552</v>
      </c>
      <c r="BY389" s="125">
        <f t="shared" si="493"/>
        <v>3.5742340783366782</v>
      </c>
      <c r="BZ389" s="125">
        <f t="shared" si="491"/>
        <v>8.7019487822778334</v>
      </c>
      <c r="CA389" s="125">
        <f t="shared" si="494"/>
        <v>121.81062214736257</v>
      </c>
      <c r="CB389" s="125">
        <f t="shared" si="496"/>
        <v>5.1277147039411552</v>
      </c>
      <c r="CC389" s="125">
        <f t="shared" si="497"/>
        <v>3.8492156598566574</v>
      </c>
      <c r="CD389" s="125">
        <f t="shared" si="495"/>
        <v>8.9769303637978126</v>
      </c>
      <c r="CE389" s="125">
        <f t="shared" si="498"/>
        <v>130.78755251116038</v>
      </c>
      <c r="CF389" s="125">
        <f t="shared" si="500"/>
        <v>5.1277147039411552</v>
      </c>
      <c r="CG389" s="125">
        <f t="shared" si="501"/>
        <v>4.1328866593526685</v>
      </c>
      <c r="CH389" s="125">
        <f t="shared" si="499"/>
        <v>9.2606013632938229</v>
      </c>
      <c r="CI389" s="125">
        <f t="shared" si="502"/>
        <v>140.04815387445421</v>
      </c>
      <c r="CJ389" s="125">
        <f t="shared" si="504"/>
        <v>5.1277147039411552</v>
      </c>
      <c r="CK389" s="125">
        <f t="shared" si="505"/>
        <v>4.4255216624327538</v>
      </c>
      <c r="CL389" s="125">
        <f t="shared" si="503"/>
        <v>9.553236366373909</v>
      </c>
      <c r="CM389" s="125">
        <f t="shared" si="506"/>
        <v>149.60139024082812</v>
      </c>
      <c r="CN389" s="125">
        <f t="shared" ref="CN389:CN402" si="508">$E$32*$D389</f>
        <v>5.1277147039411552</v>
      </c>
      <c r="CO389" s="125">
        <f t="shared" ref="CO389:CO402" si="509">$E$32*CM389</f>
        <v>4.7274039316101693</v>
      </c>
      <c r="CP389" s="125">
        <f t="shared" si="507"/>
        <v>9.8551186355513245</v>
      </c>
      <c r="CQ389" s="125">
        <f t="shared" ref="CQ389:CQ402" si="510">CM389+CN389+CO389</f>
        <v>159.45650887637947</v>
      </c>
      <c r="CR389" s="125">
        <f>$E$32*$D389</f>
        <v>5.1277147039411552</v>
      </c>
      <c r="CS389" s="125">
        <f>$E$32*CQ389</f>
        <v>5.0388256804935923</v>
      </c>
      <c r="CT389" s="125">
        <f t="shared" ref="CT389:CT402" si="511">CR389+CS389</f>
        <v>10.166540384434747</v>
      </c>
      <c r="CU389" s="125"/>
      <c r="CV389" s="125"/>
      <c r="CW389" s="125"/>
      <c r="CX389" s="125"/>
      <c r="CY389" s="125"/>
      <c r="CZ389" s="125"/>
      <c r="DA389" s="125"/>
      <c r="DB389" s="125"/>
      <c r="DC389" s="125"/>
      <c r="DD389" s="125"/>
      <c r="DE389" s="125"/>
      <c r="DF389" s="125"/>
      <c r="DG389" s="125"/>
      <c r="DH389" s="125"/>
      <c r="DI389" s="125"/>
      <c r="DJ389" s="125"/>
      <c r="DK389" s="125"/>
      <c r="DL389" s="125"/>
      <c r="DM389" s="125"/>
      <c r="DN389" s="125"/>
      <c r="DO389" s="125"/>
      <c r="DP389" s="125"/>
      <c r="DQ389" s="125"/>
      <c r="DR389" s="125"/>
      <c r="DS389" s="125"/>
      <c r="DT389" s="125"/>
      <c r="DU389" s="125"/>
      <c r="DV389" s="125"/>
      <c r="DW389" s="125"/>
      <c r="DX389" s="125"/>
      <c r="DY389" s="125"/>
      <c r="DZ389" s="125"/>
      <c r="EA389" s="125"/>
      <c r="EB389" s="125"/>
      <c r="EC389" s="125"/>
      <c r="ED389" s="125"/>
      <c r="EE389" s="125"/>
      <c r="EF389" s="125"/>
      <c r="EG389" s="125"/>
      <c r="EH389" s="125"/>
      <c r="EI389" s="125"/>
      <c r="EJ389" s="125"/>
      <c r="EK389" s="125"/>
      <c r="EL389" s="125"/>
      <c r="EM389" s="125"/>
      <c r="EN389" s="125"/>
      <c r="EO389" s="125"/>
      <c r="EP389" s="125"/>
      <c r="EQ389" s="125"/>
      <c r="ER389" s="125"/>
      <c r="ES389" s="125"/>
      <c r="ET389" s="125"/>
      <c r="EU389" s="125">
        <f>'O duodécuplo'!$F$97*$D389*$B389</f>
        <v>117.93743819064657</v>
      </c>
      <c r="EV389" s="125">
        <f t="shared" si="420"/>
        <v>51.685611070168036</v>
      </c>
      <c r="EW389" s="125">
        <f t="shared" si="421"/>
        <v>169.62304926081461</v>
      </c>
    </row>
    <row r="390" spans="2:153" s="38" customFormat="1" ht="15.95" customHeight="1" x14ac:dyDescent="0.25">
      <c r="B390" s="98">
        <f t="shared" si="422"/>
        <v>24</v>
      </c>
      <c r="C390" s="125">
        <f t="shared" si="423"/>
        <v>331.89250191718025</v>
      </c>
      <c r="D390" s="125">
        <f t="shared" si="424"/>
        <v>157.29881025239013</v>
      </c>
      <c r="E390" s="125">
        <f t="shared" si="417"/>
        <v>174.59369166479013</v>
      </c>
      <c r="F390" s="140">
        <f t="shared" si="418"/>
        <v>1.1099492194801086</v>
      </c>
      <c r="G390" s="125">
        <v>0</v>
      </c>
      <c r="H390" s="125">
        <f t="shared" si="425"/>
        <v>4.9706424039755284</v>
      </c>
      <c r="I390" s="125">
        <v>0</v>
      </c>
      <c r="J390" s="125">
        <f t="shared" si="419"/>
        <v>4.9706424039755284</v>
      </c>
      <c r="K390" s="125">
        <f t="shared" si="426"/>
        <v>4.9706424039755284</v>
      </c>
      <c r="L390" s="125">
        <f t="shared" si="428"/>
        <v>4.9706424039755284</v>
      </c>
      <c r="M390" s="125">
        <f t="shared" si="429"/>
        <v>0.15707229996562672</v>
      </c>
      <c r="N390" s="125">
        <f t="shared" si="427"/>
        <v>5.1277147039411552</v>
      </c>
      <c r="O390" s="125">
        <f t="shared" si="430"/>
        <v>10.098357107916684</v>
      </c>
      <c r="P390" s="125">
        <f t="shared" si="432"/>
        <v>4.9706424039755284</v>
      </c>
      <c r="Q390" s="125">
        <f t="shared" si="433"/>
        <v>0.31910808461016721</v>
      </c>
      <c r="R390" s="125">
        <f t="shared" si="431"/>
        <v>5.2897504885856952</v>
      </c>
      <c r="S390" s="125">
        <f t="shared" si="434"/>
        <v>15.38810759650238</v>
      </c>
      <c r="T390" s="125">
        <f t="shared" si="436"/>
        <v>4.9706424039755284</v>
      </c>
      <c r="U390" s="125">
        <f t="shared" si="437"/>
        <v>0.48626420004947524</v>
      </c>
      <c r="V390" s="125">
        <f t="shared" si="435"/>
        <v>5.4569066040250034</v>
      </c>
      <c r="W390" s="125">
        <f t="shared" si="438"/>
        <v>20.845014200527384</v>
      </c>
      <c r="X390" s="125">
        <f t="shared" si="440"/>
        <v>4.9706424039755284</v>
      </c>
      <c r="Y390" s="125">
        <f t="shared" si="441"/>
        <v>0.65870244873666539</v>
      </c>
      <c r="Z390" s="125">
        <f t="shared" si="439"/>
        <v>5.6293448527121939</v>
      </c>
      <c r="AA390" s="125">
        <f t="shared" si="442"/>
        <v>26.474359053239578</v>
      </c>
      <c r="AB390" s="125">
        <f t="shared" si="444"/>
        <v>4.9706424039755284</v>
      </c>
      <c r="AC390" s="125">
        <f t="shared" si="445"/>
        <v>0.83658974608237069</v>
      </c>
      <c r="AD390" s="125">
        <f t="shared" si="443"/>
        <v>5.8072321500578994</v>
      </c>
      <c r="AE390" s="125">
        <f t="shared" si="446"/>
        <v>32.281591203297474</v>
      </c>
      <c r="AF390" s="125">
        <f t="shared" si="448"/>
        <v>4.9706424039755284</v>
      </c>
      <c r="AG390" s="125">
        <f t="shared" si="449"/>
        <v>1.0200982820242002</v>
      </c>
      <c r="AH390" s="125">
        <f t="shared" si="447"/>
        <v>5.9907406859997288</v>
      </c>
      <c r="AI390" s="125">
        <f t="shared" si="450"/>
        <v>38.272331889297199</v>
      </c>
      <c r="AJ390" s="125">
        <f t="shared" si="452"/>
        <v>4.9706424039755284</v>
      </c>
      <c r="AK390" s="125">
        <f t="shared" si="453"/>
        <v>1.2094056877017916</v>
      </c>
      <c r="AL390" s="125">
        <f t="shared" si="451"/>
        <v>6.1800480916773202</v>
      </c>
      <c r="AM390" s="125">
        <f t="shared" si="454"/>
        <v>44.452379980974513</v>
      </c>
      <c r="AN390" s="125">
        <f t="shared" si="456"/>
        <v>4.9706424039755284</v>
      </c>
      <c r="AO390" s="125">
        <f t="shared" si="457"/>
        <v>1.4046952073987948</v>
      </c>
      <c r="AP390" s="125">
        <f t="shared" si="455"/>
        <v>6.3753376113743236</v>
      </c>
      <c r="AQ390" s="125">
        <f t="shared" si="458"/>
        <v>50.82771759234884</v>
      </c>
      <c r="AR390" s="125">
        <f t="shared" si="460"/>
        <v>4.9706424039755284</v>
      </c>
      <c r="AS390" s="125">
        <f t="shared" si="461"/>
        <v>1.6061558759182235</v>
      </c>
      <c r="AT390" s="125">
        <f t="shared" si="459"/>
        <v>6.5767982798937519</v>
      </c>
      <c r="AU390" s="125">
        <f t="shared" si="462"/>
        <v>57.404515872242591</v>
      </c>
      <c r="AV390" s="125">
        <f t="shared" si="464"/>
        <v>4.9706424039755284</v>
      </c>
      <c r="AW390" s="125">
        <f t="shared" si="465"/>
        <v>1.813982701562866</v>
      </c>
      <c r="AX390" s="125">
        <f t="shared" si="463"/>
        <v>6.7846251055383942</v>
      </c>
      <c r="AY390" s="125">
        <f t="shared" si="466"/>
        <v>64.18914097778098</v>
      </c>
      <c r="AZ390" s="125">
        <f t="shared" si="468"/>
        <v>4.9706424039755284</v>
      </c>
      <c r="BA390" s="125">
        <f t="shared" si="469"/>
        <v>2.0283768548978793</v>
      </c>
      <c r="BB390" s="125">
        <f t="shared" si="467"/>
        <v>6.9990192588734077</v>
      </c>
      <c r="BC390" s="125">
        <f t="shared" si="470"/>
        <v>71.188160236654397</v>
      </c>
      <c r="BD390" s="125">
        <f t="shared" si="472"/>
        <v>4.9706424039755284</v>
      </c>
      <c r="BE390" s="125">
        <f t="shared" si="473"/>
        <v>2.249545863478279</v>
      </c>
      <c r="BF390" s="125">
        <f t="shared" si="471"/>
        <v>7.2201882674538069</v>
      </c>
      <c r="BG390" s="125">
        <f t="shared" si="474"/>
        <v>78.408348504108204</v>
      </c>
      <c r="BH390" s="125">
        <f t="shared" si="476"/>
        <v>4.9706424039755284</v>
      </c>
      <c r="BI390" s="125">
        <f t="shared" si="477"/>
        <v>2.4777038127298194</v>
      </c>
      <c r="BJ390" s="125">
        <f t="shared" si="475"/>
        <v>7.4483462167053478</v>
      </c>
      <c r="BK390" s="125">
        <f t="shared" si="478"/>
        <v>85.85669472081355</v>
      </c>
      <c r="BL390" s="125">
        <f t="shared" si="480"/>
        <v>4.9706424039755284</v>
      </c>
      <c r="BM390" s="125">
        <f t="shared" si="481"/>
        <v>2.7130715531777083</v>
      </c>
      <c r="BN390" s="125">
        <f t="shared" si="479"/>
        <v>7.6837139571532367</v>
      </c>
      <c r="BO390" s="125">
        <f t="shared" si="482"/>
        <v>93.540408677966795</v>
      </c>
      <c r="BP390" s="125">
        <f t="shared" si="484"/>
        <v>4.9706424039755284</v>
      </c>
      <c r="BQ390" s="125">
        <f t="shared" si="485"/>
        <v>2.9558769142237509</v>
      </c>
      <c r="BR390" s="125">
        <f t="shared" si="483"/>
        <v>7.9265193181992792</v>
      </c>
      <c r="BS390" s="125">
        <f t="shared" si="486"/>
        <v>101.46692799616608</v>
      </c>
      <c r="BT390" s="125">
        <f t="shared" si="488"/>
        <v>4.9706424039755284</v>
      </c>
      <c r="BU390" s="125">
        <f t="shared" si="489"/>
        <v>3.2063549246788483</v>
      </c>
      <c r="BV390" s="125">
        <f t="shared" si="487"/>
        <v>8.1769973286543767</v>
      </c>
      <c r="BW390" s="125">
        <f t="shared" si="490"/>
        <v>109.64392532482046</v>
      </c>
      <c r="BX390" s="125">
        <f t="shared" si="492"/>
        <v>4.9706424039755284</v>
      </c>
      <c r="BY390" s="125">
        <f t="shared" si="493"/>
        <v>3.4647480402643267</v>
      </c>
      <c r="BZ390" s="125">
        <f t="shared" si="491"/>
        <v>8.4353904442398555</v>
      </c>
      <c r="CA390" s="125">
        <f t="shared" si="494"/>
        <v>118.07931576906032</v>
      </c>
      <c r="CB390" s="125">
        <f t="shared" si="496"/>
        <v>4.9706424039755284</v>
      </c>
      <c r="CC390" s="125">
        <f t="shared" si="497"/>
        <v>3.7313063783023064</v>
      </c>
      <c r="CD390" s="125">
        <f t="shared" si="495"/>
        <v>8.7019487822778352</v>
      </c>
      <c r="CE390" s="125">
        <f t="shared" si="498"/>
        <v>126.78126455133815</v>
      </c>
      <c r="CF390" s="125">
        <f t="shared" si="500"/>
        <v>4.9706424039755284</v>
      </c>
      <c r="CG390" s="125">
        <f t="shared" si="501"/>
        <v>4.006287959822286</v>
      </c>
      <c r="CH390" s="125">
        <f t="shared" si="499"/>
        <v>8.9769303637978144</v>
      </c>
      <c r="CI390" s="125">
        <f t="shared" si="502"/>
        <v>135.75819491513596</v>
      </c>
      <c r="CJ390" s="125">
        <f t="shared" si="504"/>
        <v>4.9706424039755284</v>
      </c>
      <c r="CK390" s="125">
        <f t="shared" si="505"/>
        <v>4.2899589593182972</v>
      </c>
      <c r="CL390" s="125">
        <f t="shared" si="503"/>
        <v>9.2606013632938264</v>
      </c>
      <c r="CM390" s="125">
        <f t="shared" si="506"/>
        <v>145.01879627842976</v>
      </c>
      <c r="CN390" s="125">
        <f t="shared" si="508"/>
        <v>4.9706424039755284</v>
      </c>
      <c r="CO390" s="125">
        <f t="shared" si="509"/>
        <v>4.5825939623983807</v>
      </c>
      <c r="CP390" s="125">
        <f t="shared" si="507"/>
        <v>9.553236366373909</v>
      </c>
      <c r="CQ390" s="125">
        <f t="shared" si="510"/>
        <v>154.57203264480367</v>
      </c>
      <c r="CR390" s="125">
        <f t="shared" ref="CR390:CR402" si="512">$E$32*$D390</f>
        <v>4.9706424039755284</v>
      </c>
      <c r="CS390" s="125">
        <f t="shared" ref="CS390:CS402" si="513">$E$32*CQ390</f>
        <v>4.8844762315757961</v>
      </c>
      <c r="CT390" s="125">
        <f t="shared" si="511"/>
        <v>9.8551186355513245</v>
      </c>
      <c r="CU390" s="125">
        <f t="shared" ref="CU390:CU402" si="514">CQ390+CR390+CS390</f>
        <v>164.42715128035499</v>
      </c>
      <c r="CV390" s="125">
        <f>$E$32*$D390</f>
        <v>4.9706424039755284</v>
      </c>
      <c r="CW390" s="125">
        <f>$E$32*CU390</f>
        <v>5.1958979804592182</v>
      </c>
      <c r="CX390" s="125">
        <f t="shared" ref="CX390:CX402" si="515">CV390+CW390</f>
        <v>10.166540384434747</v>
      </c>
      <c r="CY390" s="125"/>
      <c r="CZ390" s="125"/>
      <c r="DA390" s="125"/>
      <c r="DB390" s="125"/>
      <c r="DC390" s="125"/>
      <c r="DD390" s="125"/>
      <c r="DE390" s="125"/>
      <c r="DF390" s="125"/>
      <c r="DG390" s="125"/>
      <c r="DH390" s="125"/>
      <c r="DI390" s="125"/>
      <c r="DJ390" s="125"/>
      <c r="DK390" s="125"/>
      <c r="DL390" s="125"/>
      <c r="DM390" s="125"/>
      <c r="DN390" s="125"/>
      <c r="DO390" s="125"/>
      <c r="DP390" s="125"/>
      <c r="DQ390" s="125"/>
      <c r="DR390" s="125"/>
      <c r="DS390" s="125"/>
      <c r="DT390" s="125"/>
      <c r="DU390" s="125"/>
      <c r="DV390" s="125"/>
      <c r="DW390" s="125"/>
      <c r="DX390" s="125"/>
      <c r="DY390" s="125"/>
      <c r="DZ390" s="125"/>
      <c r="EA390" s="125"/>
      <c r="EB390" s="125"/>
      <c r="EC390" s="125"/>
      <c r="ED390" s="125"/>
      <c r="EE390" s="125"/>
      <c r="EF390" s="125"/>
      <c r="EG390" s="125"/>
      <c r="EH390" s="125"/>
      <c r="EI390" s="125"/>
      <c r="EJ390" s="125"/>
      <c r="EK390" s="125"/>
      <c r="EL390" s="125"/>
      <c r="EM390" s="125"/>
      <c r="EN390" s="125"/>
      <c r="EO390" s="125"/>
      <c r="EP390" s="125"/>
      <c r="EQ390" s="125"/>
      <c r="ER390" s="125"/>
      <c r="ES390" s="125"/>
      <c r="ET390" s="125"/>
      <c r="EU390" s="125">
        <f>'O duodécuplo'!$F$97*$D390*$B390</f>
        <v>119.29541769541268</v>
      </c>
      <c r="EV390" s="125">
        <f t="shared" si="420"/>
        <v>55.298273969377448</v>
      </c>
      <c r="EW390" s="125">
        <f t="shared" si="421"/>
        <v>174.59369166479013</v>
      </c>
    </row>
    <row r="391" spans="2:153" s="38" customFormat="1" ht="15.95" customHeight="1" x14ac:dyDescent="0.25">
      <c r="B391" s="98">
        <f t="shared" si="422"/>
        <v>25</v>
      </c>
      <c r="C391" s="125">
        <f t="shared" si="423"/>
        <v>331.89250191718025</v>
      </c>
      <c r="D391" s="125">
        <f t="shared" si="424"/>
        <v>152.48042870530256</v>
      </c>
      <c r="E391" s="125">
        <f t="shared" si="417"/>
        <v>179.4120732118777</v>
      </c>
      <c r="F391" s="140">
        <f t="shared" si="418"/>
        <v>1.1766236148156801</v>
      </c>
      <c r="G391" s="125">
        <v>0</v>
      </c>
      <c r="H391" s="125">
        <f t="shared" si="425"/>
        <v>4.8183815470875615</v>
      </c>
      <c r="I391" s="125">
        <v>0</v>
      </c>
      <c r="J391" s="125">
        <f t="shared" si="419"/>
        <v>4.8183815470875615</v>
      </c>
      <c r="K391" s="125">
        <f t="shared" si="426"/>
        <v>4.8183815470875615</v>
      </c>
      <c r="L391" s="125">
        <f t="shared" si="428"/>
        <v>4.8183815470875615</v>
      </c>
      <c r="M391" s="125">
        <f t="shared" si="429"/>
        <v>0.15226085688796695</v>
      </c>
      <c r="N391" s="125">
        <f t="shared" si="427"/>
        <v>4.9706424039755284</v>
      </c>
      <c r="O391" s="125">
        <f t="shared" si="430"/>
        <v>9.7890239510630899</v>
      </c>
      <c r="P391" s="125">
        <f t="shared" si="432"/>
        <v>4.8183815470875615</v>
      </c>
      <c r="Q391" s="125">
        <f t="shared" si="433"/>
        <v>0.30933315685359369</v>
      </c>
      <c r="R391" s="125">
        <f t="shared" si="431"/>
        <v>5.1277147039411552</v>
      </c>
      <c r="S391" s="125">
        <f t="shared" si="434"/>
        <v>14.916738655004245</v>
      </c>
      <c r="T391" s="125">
        <f t="shared" si="436"/>
        <v>4.8183815470875615</v>
      </c>
      <c r="U391" s="125">
        <f t="shared" si="437"/>
        <v>0.47136894149813419</v>
      </c>
      <c r="V391" s="125">
        <f t="shared" si="435"/>
        <v>5.2897504885856961</v>
      </c>
      <c r="W391" s="125">
        <f t="shared" si="438"/>
        <v>20.206489143589941</v>
      </c>
      <c r="X391" s="125">
        <f t="shared" si="440"/>
        <v>4.8183815470875615</v>
      </c>
      <c r="Y391" s="125">
        <f t="shared" si="441"/>
        <v>0.63852505693744221</v>
      </c>
      <c r="Z391" s="125">
        <f t="shared" si="439"/>
        <v>5.4569066040250034</v>
      </c>
      <c r="AA391" s="125">
        <f t="shared" si="442"/>
        <v>25.663395747614945</v>
      </c>
      <c r="AB391" s="125">
        <f t="shared" si="444"/>
        <v>4.8183815470875615</v>
      </c>
      <c r="AC391" s="125">
        <f t="shared" si="445"/>
        <v>0.81096330562463237</v>
      </c>
      <c r="AD391" s="125">
        <f t="shared" si="443"/>
        <v>5.6293448527121939</v>
      </c>
      <c r="AE391" s="125">
        <f t="shared" si="446"/>
        <v>31.292740600327139</v>
      </c>
      <c r="AF391" s="125">
        <f t="shared" si="448"/>
        <v>4.8183815470875615</v>
      </c>
      <c r="AG391" s="125">
        <f t="shared" si="449"/>
        <v>0.98885060297033767</v>
      </c>
      <c r="AH391" s="125">
        <f t="shared" si="447"/>
        <v>5.8072321500578994</v>
      </c>
      <c r="AI391" s="125">
        <f t="shared" si="450"/>
        <v>37.099972750385042</v>
      </c>
      <c r="AJ391" s="125">
        <f t="shared" si="452"/>
        <v>4.8183815470875615</v>
      </c>
      <c r="AK391" s="125">
        <f t="shared" si="453"/>
        <v>1.1723591389121675</v>
      </c>
      <c r="AL391" s="125">
        <f t="shared" si="451"/>
        <v>5.9907406859997288</v>
      </c>
      <c r="AM391" s="125">
        <f t="shared" si="454"/>
        <v>43.090713436384775</v>
      </c>
      <c r="AN391" s="125">
        <f t="shared" si="456"/>
        <v>4.8183815470875615</v>
      </c>
      <c r="AO391" s="125">
        <f t="shared" si="457"/>
        <v>1.3616665445897591</v>
      </c>
      <c r="AP391" s="125">
        <f t="shared" si="455"/>
        <v>6.1800480916773211</v>
      </c>
      <c r="AQ391" s="125">
        <f t="shared" si="458"/>
        <v>49.270761528062096</v>
      </c>
      <c r="AR391" s="125">
        <f t="shared" si="460"/>
        <v>4.8183815470875615</v>
      </c>
      <c r="AS391" s="125">
        <f t="shared" si="461"/>
        <v>1.5569560642867624</v>
      </c>
      <c r="AT391" s="125">
        <f t="shared" si="459"/>
        <v>6.3753376113743236</v>
      </c>
      <c r="AU391" s="125">
        <f t="shared" si="462"/>
        <v>55.646099139436423</v>
      </c>
      <c r="AV391" s="125">
        <f t="shared" si="464"/>
        <v>4.8183815470875615</v>
      </c>
      <c r="AW391" s="125">
        <f t="shared" si="465"/>
        <v>1.758416732806191</v>
      </c>
      <c r="AX391" s="125">
        <f t="shared" si="463"/>
        <v>6.5767982798937528</v>
      </c>
      <c r="AY391" s="125">
        <f t="shared" si="466"/>
        <v>62.222897419330174</v>
      </c>
      <c r="AZ391" s="125">
        <f t="shared" si="468"/>
        <v>4.8183815470875615</v>
      </c>
      <c r="BA391" s="125">
        <f t="shared" si="469"/>
        <v>1.9662435584508338</v>
      </c>
      <c r="BB391" s="125">
        <f t="shared" si="467"/>
        <v>6.784625105538395</v>
      </c>
      <c r="BC391" s="125">
        <f t="shared" si="470"/>
        <v>69.007522524868563</v>
      </c>
      <c r="BD391" s="125">
        <f t="shared" si="472"/>
        <v>4.8183815470875615</v>
      </c>
      <c r="BE391" s="125">
        <f t="shared" si="473"/>
        <v>2.1806377117858466</v>
      </c>
      <c r="BF391" s="125">
        <f t="shared" si="471"/>
        <v>6.9990192588734086</v>
      </c>
      <c r="BG391" s="125">
        <f t="shared" si="474"/>
        <v>76.00654178374198</v>
      </c>
      <c r="BH391" s="125">
        <f t="shared" si="476"/>
        <v>4.8183815470875615</v>
      </c>
      <c r="BI391" s="125">
        <f t="shared" si="477"/>
        <v>2.4018067203662468</v>
      </c>
      <c r="BJ391" s="125">
        <f t="shared" si="475"/>
        <v>7.2201882674538087</v>
      </c>
      <c r="BK391" s="125">
        <f t="shared" si="478"/>
        <v>83.226730051195787</v>
      </c>
      <c r="BL391" s="125">
        <f t="shared" si="480"/>
        <v>4.8183815470875615</v>
      </c>
      <c r="BM391" s="125">
        <f t="shared" si="481"/>
        <v>2.6299646696177872</v>
      </c>
      <c r="BN391" s="125">
        <f t="shared" si="479"/>
        <v>7.4483462167053487</v>
      </c>
      <c r="BO391" s="125">
        <f t="shared" si="482"/>
        <v>90.675076267901133</v>
      </c>
      <c r="BP391" s="125">
        <f t="shared" si="484"/>
        <v>4.8183815470875615</v>
      </c>
      <c r="BQ391" s="125">
        <f t="shared" si="485"/>
        <v>2.8653324100656761</v>
      </c>
      <c r="BR391" s="125">
        <f t="shared" si="483"/>
        <v>7.6837139571532376</v>
      </c>
      <c r="BS391" s="125">
        <f t="shared" si="486"/>
        <v>98.358790225054364</v>
      </c>
      <c r="BT391" s="125">
        <f t="shared" si="488"/>
        <v>4.8183815470875615</v>
      </c>
      <c r="BU391" s="125">
        <f t="shared" si="489"/>
        <v>3.1081377711117182</v>
      </c>
      <c r="BV391" s="125">
        <f t="shared" si="487"/>
        <v>7.9265193181992792</v>
      </c>
      <c r="BW391" s="125">
        <f t="shared" si="490"/>
        <v>106.28530954325363</v>
      </c>
      <c r="BX391" s="125">
        <f t="shared" si="492"/>
        <v>4.8183815470875615</v>
      </c>
      <c r="BY391" s="125">
        <f t="shared" si="493"/>
        <v>3.3586157815668152</v>
      </c>
      <c r="BZ391" s="125">
        <f t="shared" si="491"/>
        <v>8.1769973286543767</v>
      </c>
      <c r="CA391" s="125">
        <f t="shared" si="494"/>
        <v>114.462306871908</v>
      </c>
      <c r="CB391" s="125">
        <f t="shared" si="496"/>
        <v>4.8183815470875615</v>
      </c>
      <c r="CC391" s="125">
        <f t="shared" si="497"/>
        <v>3.6170088971522931</v>
      </c>
      <c r="CD391" s="125">
        <f t="shared" si="495"/>
        <v>8.4353904442398537</v>
      </c>
      <c r="CE391" s="125">
        <f t="shared" si="498"/>
        <v>122.89769731614786</v>
      </c>
      <c r="CF391" s="125">
        <f t="shared" si="500"/>
        <v>4.8183815470875615</v>
      </c>
      <c r="CG391" s="125">
        <f t="shared" si="501"/>
        <v>3.8835672351902728</v>
      </c>
      <c r="CH391" s="125">
        <f t="shared" si="499"/>
        <v>8.7019487822778352</v>
      </c>
      <c r="CI391" s="125">
        <f t="shared" si="502"/>
        <v>131.59964609842569</v>
      </c>
      <c r="CJ391" s="125">
        <f t="shared" si="504"/>
        <v>4.8183815470875615</v>
      </c>
      <c r="CK391" s="125">
        <f t="shared" si="505"/>
        <v>4.158548816710252</v>
      </c>
      <c r="CL391" s="125">
        <f t="shared" si="503"/>
        <v>8.9769303637978126</v>
      </c>
      <c r="CM391" s="125">
        <f t="shared" si="506"/>
        <v>140.57657646222353</v>
      </c>
      <c r="CN391" s="125">
        <f t="shared" si="508"/>
        <v>4.8183815470875615</v>
      </c>
      <c r="CO391" s="125">
        <f t="shared" si="509"/>
        <v>4.442219816206264</v>
      </c>
      <c r="CP391" s="125">
        <f t="shared" si="507"/>
        <v>9.2606013632938264</v>
      </c>
      <c r="CQ391" s="125">
        <f t="shared" si="510"/>
        <v>149.83717782551736</v>
      </c>
      <c r="CR391" s="125">
        <f t="shared" si="512"/>
        <v>4.8183815470875615</v>
      </c>
      <c r="CS391" s="125">
        <f t="shared" si="513"/>
        <v>4.7348548192863493</v>
      </c>
      <c r="CT391" s="125">
        <f t="shared" si="511"/>
        <v>9.5532363663739108</v>
      </c>
      <c r="CU391" s="125">
        <f t="shared" si="514"/>
        <v>159.39041419189127</v>
      </c>
      <c r="CV391" s="125">
        <f t="shared" ref="CV391:CV402" si="516">$E$32*$D391</f>
        <v>4.8183815470875615</v>
      </c>
      <c r="CW391" s="125">
        <f t="shared" ref="CW391:CW402" si="517">$E$32*CU391</f>
        <v>5.0367370884637648</v>
      </c>
      <c r="CX391" s="125">
        <f t="shared" si="515"/>
        <v>9.8551186355513263</v>
      </c>
      <c r="CY391" s="125">
        <f t="shared" ref="CY391:CY402" si="518">CU391+CV391+CW391</f>
        <v>169.24553282744259</v>
      </c>
      <c r="CZ391" s="125">
        <f>$E$32*$D391</f>
        <v>4.8183815470875615</v>
      </c>
      <c r="DA391" s="125">
        <f>$E$32*CY391</f>
        <v>5.348158837347186</v>
      </c>
      <c r="DB391" s="125">
        <f t="shared" ref="DB391:DB402" si="519">CZ391+DA391</f>
        <v>10.166540384434747</v>
      </c>
      <c r="DC391" s="125"/>
      <c r="DD391" s="125"/>
      <c r="DE391" s="125"/>
      <c r="DF391" s="125"/>
      <c r="DG391" s="125"/>
      <c r="DH391" s="125"/>
      <c r="DI391" s="125"/>
      <c r="DJ391" s="125"/>
      <c r="DK391" s="125"/>
      <c r="DL391" s="125"/>
      <c r="DM391" s="125"/>
      <c r="DN391" s="125"/>
      <c r="DO391" s="125"/>
      <c r="DP391" s="125"/>
      <c r="DQ391" s="125"/>
      <c r="DR391" s="125"/>
      <c r="DS391" s="125"/>
      <c r="DT391" s="125"/>
      <c r="DU391" s="125"/>
      <c r="DV391" s="125"/>
      <c r="DW391" s="125"/>
      <c r="DX391" s="125"/>
      <c r="DY391" s="125"/>
      <c r="DZ391" s="125"/>
      <c r="EA391" s="125"/>
      <c r="EB391" s="125"/>
      <c r="EC391" s="125"/>
      <c r="ED391" s="125"/>
      <c r="EE391" s="125"/>
      <c r="EF391" s="125"/>
      <c r="EG391" s="125"/>
      <c r="EH391" s="125"/>
      <c r="EI391" s="125"/>
      <c r="EJ391" s="125"/>
      <c r="EK391" s="125"/>
      <c r="EL391" s="125"/>
      <c r="EM391" s="125"/>
      <c r="EN391" s="125"/>
      <c r="EO391" s="125"/>
      <c r="EP391" s="125"/>
      <c r="EQ391" s="125"/>
      <c r="ER391" s="125"/>
      <c r="ES391" s="125"/>
      <c r="ET391" s="125"/>
      <c r="EU391" s="125">
        <f>'O duodécuplo'!$F$97*$D391*$B391</f>
        <v>120.45953867718904</v>
      </c>
      <c r="EV391" s="125">
        <f t="shared" si="420"/>
        <v>58.952534534688652</v>
      </c>
      <c r="EW391" s="125">
        <f t="shared" si="421"/>
        <v>179.4120732118777</v>
      </c>
    </row>
    <row r="392" spans="2:153" s="38" customFormat="1" ht="15.95" customHeight="1" x14ac:dyDescent="0.25">
      <c r="B392" s="98">
        <f t="shared" si="422"/>
        <v>26</v>
      </c>
      <c r="C392" s="125">
        <f t="shared" si="423"/>
        <v>331.89250191718025</v>
      </c>
      <c r="D392" s="125">
        <f t="shared" si="424"/>
        <v>147.80964395628396</v>
      </c>
      <c r="E392" s="125">
        <f t="shared" si="417"/>
        <v>184.08285796089629</v>
      </c>
      <c r="F392" s="140">
        <f t="shared" si="418"/>
        <v>1.245404921043856</v>
      </c>
      <c r="G392" s="125">
        <v>0</v>
      </c>
      <c r="H392" s="125">
        <f t="shared" si="425"/>
        <v>4.6707847490185737</v>
      </c>
      <c r="I392" s="125">
        <v>0</v>
      </c>
      <c r="J392" s="125">
        <f t="shared" si="419"/>
        <v>4.6707847490185737</v>
      </c>
      <c r="K392" s="125">
        <f t="shared" si="426"/>
        <v>4.6707847490185737</v>
      </c>
      <c r="L392" s="125">
        <f t="shared" si="428"/>
        <v>4.6707847490185737</v>
      </c>
      <c r="M392" s="125">
        <f t="shared" si="429"/>
        <v>0.14759679806898693</v>
      </c>
      <c r="N392" s="125">
        <f t="shared" si="427"/>
        <v>4.8183815470875606</v>
      </c>
      <c r="O392" s="125">
        <f t="shared" si="430"/>
        <v>9.4891662961061343</v>
      </c>
      <c r="P392" s="125">
        <f t="shared" si="432"/>
        <v>4.6707847490185737</v>
      </c>
      <c r="Q392" s="125">
        <f t="shared" si="433"/>
        <v>0.29985765495695388</v>
      </c>
      <c r="R392" s="125">
        <f t="shared" si="431"/>
        <v>4.9706424039755275</v>
      </c>
      <c r="S392" s="125">
        <f t="shared" si="434"/>
        <v>14.459808700081661</v>
      </c>
      <c r="T392" s="125">
        <f t="shared" si="436"/>
        <v>4.6707847490185737</v>
      </c>
      <c r="U392" s="125">
        <f t="shared" si="437"/>
        <v>0.45692995492258054</v>
      </c>
      <c r="V392" s="125">
        <f t="shared" si="435"/>
        <v>5.1277147039411544</v>
      </c>
      <c r="W392" s="125">
        <f t="shared" si="438"/>
        <v>19.587523404022814</v>
      </c>
      <c r="X392" s="125">
        <f t="shared" si="440"/>
        <v>4.6707847490185737</v>
      </c>
      <c r="Y392" s="125">
        <f t="shared" si="441"/>
        <v>0.61896573956712098</v>
      </c>
      <c r="Z392" s="125">
        <f t="shared" si="439"/>
        <v>5.2897504885856943</v>
      </c>
      <c r="AA392" s="125">
        <f t="shared" si="442"/>
        <v>24.877273892608507</v>
      </c>
      <c r="AB392" s="125">
        <f t="shared" si="444"/>
        <v>4.6707847490185737</v>
      </c>
      <c r="AC392" s="125">
        <f t="shared" si="445"/>
        <v>0.78612185500642884</v>
      </c>
      <c r="AD392" s="125">
        <f t="shared" si="443"/>
        <v>5.4569066040250025</v>
      </c>
      <c r="AE392" s="125">
        <f t="shared" si="446"/>
        <v>30.334180496633508</v>
      </c>
      <c r="AF392" s="125">
        <f t="shared" si="448"/>
        <v>4.6707847490185737</v>
      </c>
      <c r="AG392" s="125">
        <f t="shared" si="449"/>
        <v>0.95856010369361888</v>
      </c>
      <c r="AH392" s="125">
        <f t="shared" si="447"/>
        <v>5.6293448527121921</v>
      </c>
      <c r="AI392" s="125">
        <f t="shared" si="450"/>
        <v>35.963525349345701</v>
      </c>
      <c r="AJ392" s="125">
        <f t="shared" si="452"/>
        <v>4.6707847490185737</v>
      </c>
      <c r="AK392" s="125">
        <f t="shared" si="453"/>
        <v>1.1364474010393242</v>
      </c>
      <c r="AL392" s="125">
        <f t="shared" si="451"/>
        <v>5.8072321500578976</v>
      </c>
      <c r="AM392" s="125">
        <f t="shared" si="454"/>
        <v>41.770757499403601</v>
      </c>
      <c r="AN392" s="125">
        <f t="shared" si="456"/>
        <v>4.6707847490185737</v>
      </c>
      <c r="AO392" s="125">
        <f t="shared" si="457"/>
        <v>1.319955936981154</v>
      </c>
      <c r="AP392" s="125">
        <f t="shared" si="455"/>
        <v>5.9907406859997279</v>
      </c>
      <c r="AQ392" s="125">
        <f t="shared" si="458"/>
        <v>47.761498185403326</v>
      </c>
      <c r="AR392" s="125">
        <f t="shared" si="460"/>
        <v>4.6707847490185737</v>
      </c>
      <c r="AS392" s="125">
        <f t="shared" si="461"/>
        <v>1.5092633426587452</v>
      </c>
      <c r="AT392" s="125">
        <f t="shared" si="459"/>
        <v>6.1800480916773193</v>
      </c>
      <c r="AU392" s="125">
        <f t="shared" si="462"/>
        <v>53.941546277080647</v>
      </c>
      <c r="AV392" s="125">
        <f t="shared" si="464"/>
        <v>4.6707847490185737</v>
      </c>
      <c r="AW392" s="125">
        <f t="shared" si="465"/>
        <v>1.7045528623557487</v>
      </c>
      <c r="AX392" s="125">
        <f t="shared" si="463"/>
        <v>6.3753376113743219</v>
      </c>
      <c r="AY392" s="125">
        <f t="shared" si="466"/>
        <v>60.316883888454967</v>
      </c>
      <c r="AZ392" s="125">
        <f t="shared" si="468"/>
        <v>4.6707847490185737</v>
      </c>
      <c r="BA392" s="125">
        <f t="shared" si="469"/>
        <v>1.9060135308751771</v>
      </c>
      <c r="BB392" s="125">
        <f t="shared" si="467"/>
        <v>6.576798279893751</v>
      </c>
      <c r="BC392" s="125">
        <f t="shared" si="470"/>
        <v>66.893682168348718</v>
      </c>
      <c r="BD392" s="125">
        <f t="shared" si="472"/>
        <v>4.6707847490185737</v>
      </c>
      <c r="BE392" s="125">
        <f t="shared" si="473"/>
        <v>2.1138403565198196</v>
      </c>
      <c r="BF392" s="125">
        <f t="shared" si="471"/>
        <v>6.7846251055383933</v>
      </c>
      <c r="BG392" s="125">
        <f t="shared" si="474"/>
        <v>73.678307273887114</v>
      </c>
      <c r="BH392" s="125">
        <f t="shared" si="476"/>
        <v>4.6707847490185737</v>
      </c>
      <c r="BI392" s="125">
        <f t="shared" si="477"/>
        <v>2.3282345098548332</v>
      </c>
      <c r="BJ392" s="125">
        <f t="shared" si="475"/>
        <v>6.9990192588734068</v>
      </c>
      <c r="BK392" s="125">
        <f t="shared" si="478"/>
        <v>80.677326532760532</v>
      </c>
      <c r="BL392" s="125">
        <f t="shared" si="480"/>
        <v>4.6707847490185737</v>
      </c>
      <c r="BM392" s="125">
        <f t="shared" si="481"/>
        <v>2.5494035184352328</v>
      </c>
      <c r="BN392" s="125">
        <f t="shared" si="479"/>
        <v>7.2201882674538069</v>
      </c>
      <c r="BO392" s="125">
        <f t="shared" si="482"/>
        <v>87.897514800214338</v>
      </c>
      <c r="BP392" s="125">
        <f t="shared" si="484"/>
        <v>4.6707847490185737</v>
      </c>
      <c r="BQ392" s="125">
        <f t="shared" si="485"/>
        <v>2.7775614676867733</v>
      </c>
      <c r="BR392" s="125">
        <f t="shared" si="483"/>
        <v>7.4483462167053469</v>
      </c>
      <c r="BS392" s="125">
        <f t="shared" si="486"/>
        <v>95.345861016919685</v>
      </c>
      <c r="BT392" s="125">
        <f t="shared" si="488"/>
        <v>4.6707847490185737</v>
      </c>
      <c r="BU392" s="125">
        <f t="shared" si="489"/>
        <v>3.0129292081346621</v>
      </c>
      <c r="BV392" s="125">
        <f t="shared" si="487"/>
        <v>7.6837139571532358</v>
      </c>
      <c r="BW392" s="125">
        <f t="shared" si="490"/>
        <v>103.02957497407293</v>
      </c>
      <c r="BX392" s="125">
        <f t="shared" si="492"/>
        <v>4.6707847490185737</v>
      </c>
      <c r="BY392" s="125">
        <f t="shared" si="493"/>
        <v>3.2557345691807047</v>
      </c>
      <c r="BZ392" s="125">
        <f t="shared" si="491"/>
        <v>7.9265193181992784</v>
      </c>
      <c r="CA392" s="125">
        <f t="shared" si="494"/>
        <v>110.95609429227221</v>
      </c>
      <c r="CB392" s="125">
        <f t="shared" si="496"/>
        <v>4.6707847490185737</v>
      </c>
      <c r="CC392" s="125">
        <f t="shared" si="497"/>
        <v>3.5062125796358021</v>
      </c>
      <c r="CD392" s="125">
        <f t="shared" si="495"/>
        <v>8.1769973286543767</v>
      </c>
      <c r="CE392" s="125">
        <f t="shared" si="498"/>
        <v>119.13309162092659</v>
      </c>
      <c r="CF392" s="125">
        <f t="shared" si="500"/>
        <v>4.6707847490185737</v>
      </c>
      <c r="CG392" s="125">
        <f t="shared" si="501"/>
        <v>3.7646056952212805</v>
      </c>
      <c r="CH392" s="125">
        <f t="shared" si="499"/>
        <v>8.4353904442398537</v>
      </c>
      <c r="CI392" s="125">
        <f t="shared" si="502"/>
        <v>127.56848206516645</v>
      </c>
      <c r="CJ392" s="125">
        <f t="shared" si="504"/>
        <v>4.6707847490185737</v>
      </c>
      <c r="CK392" s="125">
        <f t="shared" si="505"/>
        <v>4.0311640332592598</v>
      </c>
      <c r="CL392" s="125">
        <f t="shared" si="503"/>
        <v>8.7019487822778334</v>
      </c>
      <c r="CM392" s="125">
        <f t="shared" si="506"/>
        <v>136.27043084744429</v>
      </c>
      <c r="CN392" s="125">
        <f t="shared" si="508"/>
        <v>4.6707847490185737</v>
      </c>
      <c r="CO392" s="125">
        <f t="shared" si="509"/>
        <v>4.3061456147792398</v>
      </c>
      <c r="CP392" s="125">
        <f t="shared" si="507"/>
        <v>8.9769303637978126</v>
      </c>
      <c r="CQ392" s="125">
        <f t="shared" si="510"/>
        <v>145.24736121124209</v>
      </c>
      <c r="CR392" s="125">
        <f t="shared" si="512"/>
        <v>4.6707847490185737</v>
      </c>
      <c r="CS392" s="125">
        <f t="shared" si="513"/>
        <v>4.589816614275251</v>
      </c>
      <c r="CT392" s="125">
        <f t="shared" si="511"/>
        <v>9.2606013632938247</v>
      </c>
      <c r="CU392" s="125">
        <f t="shared" si="514"/>
        <v>154.50796257453592</v>
      </c>
      <c r="CV392" s="125">
        <f t="shared" si="516"/>
        <v>4.6707847490185737</v>
      </c>
      <c r="CW392" s="125">
        <f t="shared" si="517"/>
        <v>4.8824516173553354</v>
      </c>
      <c r="CX392" s="125">
        <f t="shared" si="515"/>
        <v>9.553236366373909</v>
      </c>
      <c r="CY392" s="125">
        <f t="shared" si="518"/>
        <v>164.06119894090983</v>
      </c>
      <c r="CZ392" s="125">
        <f t="shared" ref="CZ392:CZ402" si="520">$E$32*$D392</f>
        <v>4.6707847490185737</v>
      </c>
      <c r="DA392" s="125">
        <f t="shared" ref="DA392:DA402" si="521">$E$32*CY392</f>
        <v>5.1843338865327508</v>
      </c>
      <c r="DB392" s="125">
        <f t="shared" si="519"/>
        <v>9.8551186355513245</v>
      </c>
      <c r="DC392" s="125">
        <f t="shared" ref="DC392:DC402" si="522">CY392+CZ392+DA392</f>
        <v>173.91631757646115</v>
      </c>
      <c r="DD392" s="125">
        <f>$E$32*$D392</f>
        <v>4.6707847490185737</v>
      </c>
      <c r="DE392" s="125">
        <f>$E$32*DC392</f>
        <v>5.495755635416173</v>
      </c>
      <c r="DF392" s="125">
        <f t="shared" ref="DF392:DF402" si="523">DD392+DE392</f>
        <v>10.166540384434747</v>
      </c>
      <c r="DG392" s="125"/>
      <c r="DH392" s="125"/>
      <c r="DI392" s="125"/>
      <c r="DJ392" s="125"/>
      <c r="DK392" s="125"/>
      <c r="DL392" s="125"/>
      <c r="DM392" s="125"/>
      <c r="DN392" s="125"/>
      <c r="DO392" s="125"/>
      <c r="DP392" s="125"/>
      <c r="DQ392" s="125"/>
      <c r="DR392" s="125"/>
      <c r="DS392" s="125"/>
      <c r="DT392" s="125"/>
      <c r="DU392" s="125"/>
      <c r="DV392" s="125"/>
      <c r="DW392" s="125"/>
      <c r="DX392" s="125"/>
      <c r="DY392" s="125"/>
      <c r="DZ392" s="125"/>
      <c r="EA392" s="125"/>
      <c r="EB392" s="125"/>
      <c r="EC392" s="125"/>
      <c r="ED392" s="125"/>
      <c r="EE392" s="125"/>
      <c r="EF392" s="125"/>
      <c r="EG392" s="125"/>
      <c r="EH392" s="125"/>
      <c r="EI392" s="125"/>
      <c r="EJ392" s="125"/>
      <c r="EK392" s="125"/>
      <c r="EL392" s="125"/>
      <c r="EM392" s="125"/>
      <c r="EN392" s="125"/>
      <c r="EO392" s="125"/>
      <c r="EP392" s="125"/>
      <c r="EQ392" s="125"/>
      <c r="ER392" s="125"/>
      <c r="ES392" s="125"/>
      <c r="ET392" s="125"/>
      <c r="EU392" s="125">
        <f>'O duodécuplo'!$F$97*$D392*$B392</f>
        <v>121.44040347448292</v>
      </c>
      <c r="EV392" s="125">
        <f t="shared" si="420"/>
        <v>62.642454486413371</v>
      </c>
      <c r="EW392" s="125">
        <f t="shared" si="421"/>
        <v>184.08285796089629</v>
      </c>
    </row>
    <row r="393" spans="2:153" s="38" customFormat="1" ht="15.95" customHeight="1" x14ac:dyDescent="0.25">
      <c r="B393" s="98">
        <f t="shared" si="422"/>
        <v>27</v>
      </c>
      <c r="C393" s="125">
        <f t="shared" si="423"/>
        <v>331.89250191718025</v>
      </c>
      <c r="D393" s="125">
        <f t="shared" si="424"/>
        <v>143.28193481609534</v>
      </c>
      <c r="E393" s="125">
        <f t="shared" si="417"/>
        <v>188.61056710108491</v>
      </c>
      <c r="F393" s="140">
        <f t="shared" si="418"/>
        <v>1.3163597165488419</v>
      </c>
      <c r="G393" s="125">
        <v>0</v>
      </c>
      <c r="H393" s="125">
        <f t="shared" si="425"/>
        <v>4.5277091401886134</v>
      </c>
      <c r="I393" s="125">
        <v>0</v>
      </c>
      <c r="J393" s="125">
        <f t="shared" si="419"/>
        <v>4.5277091401886134</v>
      </c>
      <c r="K393" s="125">
        <f t="shared" si="426"/>
        <v>4.5277091401886134</v>
      </c>
      <c r="L393" s="125">
        <f t="shared" si="428"/>
        <v>4.5277091401886134</v>
      </c>
      <c r="M393" s="125">
        <f t="shared" si="429"/>
        <v>0.1430756088299602</v>
      </c>
      <c r="N393" s="125">
        <f t="shared" si="427"/>
        <v>4.6707847490185737</v>
      </c>
      <c r="O393" s="125">
        <f t="shared" si="430"/>
        <v>9.198493889207187</v>
      </c>
      <c r="P393" s="125">
        <f t="shared" si="432"/>
        <v>4.5277091401886134</v>
      </c>
      <c r="Q393" s="125">
        <f t="shared" si="433"/>
        <v>0.29067240689894713</v>
      </c>
      <c r="R393" s="125">
        <f t="shared" si="431"/>
        <v>4.8183815470875606</v>
      </c>
      <c r="S393" s="125">
        <f t="shared" si="434"/>
        <v>14.016875436294749</v>
      </c>
      <c r="T393" s="125">
        <f t="shared" si="436"/>
        <v>4.5277091401886134</v>
      </c>
      <c r="U393" s="125">
        <f t="shared" si="437"/>
        <v>0.44293326378691411</v>
      </c>
      <c r="V393" s="125">
        <f t="shared" si="435"/>
        <v>4.9706424039755275</v>
      </c>
      <c r="W393" s="125">
        <f t="shared" si="438"/>
        <v>18.987517840270279</v>
      </c>
      <c r="X393" s="125">
        <f t="shared" si="440"/>
        <v>4.5277091401886134</v>
      </c>
      <c r="Y393" s="125">
        <f t="shared" si="441"/>
        <v>0.60000556375254088</v>
      </c>
      <c r="Z393" s="125">
        <f t="shared" si="439"/>
        <v>5.1277147039411544</v>
      </c>
      <c r="AA393" s="125">
        <f t="shared" si="442"/>
        <v>24.11523254421143</v>
      </c>
      <c r="AB393" s="125">
        <f t="shared" si="444"/>
        <v>4.5277091401886134</v>
      </c>
      <c r="AC393" s="125">
        <f t="shared" si="445"/>
        <v>0.76204134839708126</v>
      </c>
      <c r="AD393" s="125">
        <f t="shared" si="443"/>
        <v>5.2897504885856943</v>
      </c>
      <c r="AE393" s="125">
        <f t="shared" si="446"/>
        <v>29.404983032797123</v>
      </c>
      <c r="AF393" s="125">
        <f t="shared" si="448"/>
        <v>4.5277091401886134</v>
      </c>
      <c r="AG393" s="125">
        <f t="shared" si="449"/>
        <v>0.92919746383638913</v>
      </c>
      <c r="AH393" s="125">
        <f t="shared" si="447"/>
        <v>5.4569066040250025</v>
      </c>
      <c r="AI393" s="125">
        <f t="shared" si="450"/>
        <v>34.861889636822127</v>
      </c>
      <c r="AJ393" s="125">
        <f t="shared" si="452"/>
        <v>4.5277091401886134</v>
      </c>
      <c r="AK393" s="125">
        <f t="shared" si="453"/>
        <v>1.1016357125235794</v>
      </c>
      <c r="AL393" s="125">
        <f t="shared" si="451"/>
        <v>5.629344852712193</v>
      </c>
      <c r="AM393" s="125">
        <f t="shared" si="454"/>
        <v>40.491234489534321</v>
      </c>
      <c r="AN393" s="125">
        <f t="shared" si="456"/>
        <v>4.5277091401886134</v>
      </c>
      <c r="AO393" s="125">
        <f t="shared" si="457"/>
        <v>1.2795230098692847</v>
      </c>
      <c r="AP393" s="125">
        <f t="shared" si="455"/>
        <v>5.8072321500578976</v>
      </c>
      <c r="AQ393" s="125">
        <f t="shared" si="458"/>
        <v>46.29846663959222</v>
      </c>
      <c r="AR393" s="125">
        <f t="shared" si="460"/>
        <v>4.5277091401886134</v>
      </c>
      <c r="AS393" s="125">
        <f t="shared" si="461"/>
        <v>1.4630315458111143</v>
      </c>
      <c r="AT393" s="125">
        <f t="shared" si="459"/>
        <v>5.9907406859997279</v>
      </c>
      <c r="AU393" s="125">
        <f t="shared" si="462"/>
        <v>52.289207325591946</v>
      </c>
      <c r="AV393" s="125">
        <f t="shared" si="464"/>
        <v>4.5277091401886134</v>
      </c>
      <c r="AW393" s="125">
        <f t="shared" si="465"/>
        <v>1.6523389514887057</v>
      </c>
      <c r="AX393" s="125">
        <f t="shared" si="463"/>
        <v>6.1800480916773193</v>
      </c>
      <c r="AY393" s="125">
        <f t="shared" si="466"/>
        <v>58.469255417269267</v>
      </c>
      <c r="AZ393" s="125">
        <f t="shared" si="468"/>
        <v>4.5277091401886134</v>
      </c>
      <c r="BA393" s="125">
        <f t="shared" si="469"/>
        <v>1.8476284711857089</v>
      </c>
      <c r="BB393" s="125">
        <f t="shared" si="467"/>
        <v>6.3753376113743219</v>
      </c>
      <c r="BC393" s="125">
        <f t="shared" si="470"/>
        <v>64.844593028643587</v>
      </c>
      <c r="BD393" s="125">
        <f t="shared" si="472"/>
        <v>4.5277091401886134</v>
      </c>
      <c r="BE393" s="125">
        <f t="shared" si="473"/>
        <v>2.0490891397051376</v>
      </c>
      <c r="BF393" s="125">
        <f t="shared" si="471"/>
        <v>6.576798279893751</v>
      </c>
      <c r="BG393" s="125">
        <f t="shared" si="474"/>
        <v>71.421391308537338</v>
      </c>
      <c r="BH393" s="125">
        <f t="shared" si="476"/>
        <v>4.5277091401886134</v>
      </c>
      <c r="BI393" s="125">
        <f t="shared" si="477"/>
        <v>2.2569159653497799</v>
      </c>
      <c r="BJ393" s="125">
        <f t="shared" si="475"/>
        <v>6.7846251055383933</v>
      </c>
      <c r="BK393" s="125">
        <f t="shared" si="478"/>
        <v>78.206016414075734</v>
      </c>
      <c r="BL393" s="125">
        <f t="shared" si="480"/>
        <v>4.5277091401886134</v>
      </c>
      <c r="BM393" s="125">
        <f t="shared" si="481"/>
        <v>2.4713101186847934</v>
      </c>
      <c r="BN393" s="125">
        <f t="shared" si="479"/>
        <v>6.9990192588734068</v>
      </c>
      <c r="BO393" s="125">
        <f t="shared" si="482"/>
        <v>85.205035672949151</v>
      </c>
      <c r="BP393" s="125">
        <f t="shared" si="484"/>
        <v>4.5277091401886134</v>
      </c>
      <c r="BQ393" s="125">
        <f t="shared" si="485"/>
        <v>2.6924791272651936</v>
      </c>
      <c r="BR393" s="125">
        <f t="shared" si="483"/>
        <v>7.2201882674538069</v>
      </c>
      <c r="BS393" s="125">
        <f t="shared" si="486"/>
        <v>92.425223940402958</v>
      </c>
      <c r="BT393" s="125">
        <f t="shared" si="488"/>
        <v>4.5277091401886134</v>
      </c>
      <c r="BU393" s="125">
        <f t="shared" si="489"/>
        <v>2.9206370765167335</v>
      </c>
      <c r="BV393" s="125">
        <f t="shared" si="487"/>
        <v>7.4483462167053469</v>
      </c>
      <c r="BW393" s="125">
        <f t="shared" si="490"/>
        <v>99.873570157108304</v>
      </c>
      <c r="BX393" s="125">
        <f t="shared" si="492"/>
        <v>4.5277091401886134</v>
      </c>
      <c r="BY393" s="125">
        <f t="shared" si="493"/>
        <v>3.1560048169646229</v>
      </c>
      <c r="BZ393" s="125">
        <f t="shared" si="491"/>
        <v>7.6837139571532358</v>
      </c>
      <c r="CA393" s="125">
        <f t="shared" si="494"/>
        <v>107.55728411426155</v>
      </c>
      <c r="CB393" s="125">
        <f t="shared" si="496"/>
        <v>4.5277091401886134</v>
      </c>
      <c r="CC393" s="125">
        <f t="shared" si="497"/>
        <v>3.3988101780106654</v>
      </c>
      <c r="CD393" s="125">
        <f t="shared" si="495"/>
        <v>7.9265193181992792</v>
      </c>
      <c r="CE393" s="125">
        <f t="shared" si="498"/>
        <v>115.48380343246083</v>
      </c>
      <c r="CF393" s="125">
        <f t="shared" si="500"/>
        <v>4.5277091401886134</v>
      </c>
      <c r="CG393" s="125">
        <f t="shared" si="501"/>
        <v>3.6492881884657624</v>
      </c>
      <c r="CH393" s="125">
        <f t="shared" si="499"/>
        <v>8.1769973286543767</v>
      </c>
      <c r="CI393" s="125">
        <f t="shared" si="502"/>
        <v>123.66080076111521</v>
      </c>
      <c r="CJ393" s="125">
        <f t="shared" si="504"/>
        <v>4.5277091401886134</v>
      </c>
      <c r="CK393" s="125">
        <f t="shared" si="505"/>
        <v>3.9076813040512413</v>
      </c>
      <c r="CL393" s="125">
        <f t="shared" si="503"/>
        <v>8.4353904442398537</v>
      </c>
      <c r="CM393" s="125">
        <f t="shared" si="506"/>
        <v>132.09619120535507</v>
      </c>
      <c r="CN393" s="125">
        <f t="shared" si="508"/>
        <v>4.5277091401886134</v>
      </c>
      <c r="CO393" s="125">
        <f t="shared" si="509"/>
        <v>4.1742396420892209</v>
      </c>
      <c r="CP393" s="125">
        <f t="shared" si="507"/>
        <v>8.7019487822778352</v>
      </c>
      <c r="CQ393" s="125">
        <f t="shared" si="510"/>
        <v>140.79813998763291</v>
      </c>
      <c r="CR393" s="125">
        <f t="shared" si="512"/>
        <v>4.5277091401886134</v>
      </c>
      <c r="CS393" s="125">
        <f t="shared" si="513"/>
        <v>4.4492212236092001</v>
      </c>
      <c r="CT393" s="125">
        <f t="shared" si="511"/>
        <v>8.9769303637978126</v>
      </c>
      <c r="CU393" s="125">
        <f t="shared" si="514"/>
        <v>149.77507035143071</v>
      </c>
      <c r="CV393" s="125">
        <f t="shared" si="516"/>
        <v>4.5277091401886134</v>
      </c>
      <c r="CW393" s="125">
        <f t="shared" si="517"/>
        <v>4.7328922231052113</v>
      </c>
      <c r="CX393" s="125">
        <f t="shared" si="515"/>
        <v>9.2606013632938247</v>
      </c>
      <c r="CY393" s="125">
        <f t="shared" si="518"/>
        <v>159.03567171472454</v>
      </c>
      <c r="CZ393" s="125">
        <f t="shared" si="520"/>
        <v>4.5277091401886134</v>
      </c>
      <c r="DA393" s="125">
        <f t="shared" si="521"/>
        <v>5.0255272261852957</v>
      </c>
      <c r="DB393" s="125">
        <f t="shared" si="519"/>
        <v>9.553236366373909</v>
      </c>
      <c r="DC393" s="125">
        <f t="shared" si="522"/>
        <v>168.58890808109845</v>
      </c>
      <c r="DD393" s="125">
        <f t="shared" ref="DD393:DD402" si="524">$E$32*$D393</f>
        <v>4.5277091401886134</v>
      </c>
      <c r="DE393" s="125">
        <f t="shared" ref="DE393:DE402" si="525">$E$32*DC393</f>
        <v>5.327409495362712</v>
      </c>
      <c r="DF393" s="125">
        <f t="shared" si="523"/>
        <v>9.8551186355513245</v>
      </c>
      <c r="DG393" s="125">
        <f t="shared" ref="DG393:DG402" si="526">DC393+DD393+DE393</f>
        <v>178.44402671664977</v>
      </c>
      <c r="DH393" s="125">
        <f>$E$32*$D393</f>
        <v>4.5277091401886134</v>
      </c>
      <c r="DI393" s="125">
        <f>$E$32*DG393</f>
        <v>5.6388312442461332</v>
      </c>
      <c r="DJ393" s="125">
        <f t="shared" ref="DJ393:DJ402" si="527">DH393+DI393</f>
        <v>10.166540384434747</v>
      </c>
      <c r="DK393" s="125"/>
      <c r="DL393" s="125"/>
      <c r="DM393" s="125"/>
      <c r="DN393" s="125"/>
      <c r="DO393" s="125"/>
      <c r="DP393" s="125"/>
      <c r="DQ393" s="125"/>
      <c r="DR393" s="125"/>
      <c r="DS393" s="125"/>
      <c r="DT393" s="125"/>
      <c r="DU393" s="125"/>
      <c r="DV393" s="125"/>
      <c r="DW393" s="125"/>
      <c r="DX393" s="125"/>
      <c r="DY393" s="125"/>
      <c r="DZ393" s="125"/>
      <c r="EA393" s="125"/>
      <c r="EB393" s="125"/>
      <c r="EC393" s="125"/>
      <c r="ED393" s="125"/>
      <c r="EE393" s="125"/>
      <c r="EF393" s="125"/>
      <c r="EG393" s="125"/>
      <c r="EH393" s="125"/>
      <c r="EI393" s="125"/>
      <c r="EJ393" s="125"/>
      <c r="EK393" s="125"/>
      <c r="EL393" s="125"/>
      <c r="EM393" s="125"/>
      <c r="EN393" s="125"/>
      <c r="EO393" s="125"/>
      <c r="EP393" s="125"/>
      <c r="EQ393" s="125"/>
      <c r="ER393" s="125"/>
      <c r="ES393" s="125"/>
      <c r="ET393" s="125"/>
      <c r="EU393" s="125">
        <f>'O duodécuplo'!$F$97*$D393*$B393</f>
        <v>122.24814678509256</v>
      </c>
      <c r="EV393" s="125">
        <f t="shared" si="420"/>
        <v>66.362420315992352</v>
      </c>
      <c r="EW393" s="125">
        <f t="shared" si="421"/>
        <v>188.61056710108491</v>
      </c>
    </row>
    <row r="394" spans="2:153" s="38" customFormat="1" ht="15.95" customHeight="1" x14ac:dyDescent="0.25">
      <c r="B394" s="98">
        <f t="shared" si="422"/>
        <v>28</v>
      </c>
      <c r="C394" s="125">
        <f t="shared" si="423"/>
        <v>331.89250191718025</v>
      </c>
      <c r="D394" s="125">
        <f t="shared" si="424"/>
        <v>138.89291858869265</v>
      </c>
      <c r="E394" s="125">
        <f t="shared" si="417"/>
        <v>192.9995833284876</v>
      </c>
      <c r="F394" s="140">
        <f t="shared" si="418"/>
        <v>1.3895566835917854</v>
      </c>
      <c r="G394" s="125">
        <v>0</v>
      </c>
      <c r="H394" s="125">
        <f t="shared" si="425"/>
        <v>4.3890162274026885</v>
      </c>
      <c r="I394" s="125">
        <v>0</v>
      </c>
      <c r="J394" s="125">
        <f t="shared" si="419"/>
        <v>4.3890162274026885</v>
      </c>
      <c r="K394" s="125">
        <f t="shared" si="426"/>
        <v>4.3890162274026885</v>
      </c>
      <c r="L394" s="125">
        <f t="shared" si="428"/>
        <v>4.3890162274026885</v>
      </c>
      <c r="M394" s="125">
        <f t="shared" si="429"/>
        <v>0.13869291278592497</v>
      </c>
      <c r="N394" s="125">
        <f t="shared" si="427"/>
        <v>4.5277091401886134</v>
      </c>
      <c r="O394" s="125">
        <f t="shared" si="430"/>
        <v>8.9167253675913027</v>
      </c>
      <c r="P394" s="125">
        <f t="shared" si="432"/>
        <v>4.3890162274026885</v>
      </c>
      <c r="Q394" s="125">
        <f t="shared" si="433"/>
        <v>0.28176852161588517</v>
      </c>
      <c r="R394" s="125">
        <f t="shared" si="431"/>
        <v>4.6707847490185737</v>
      </c>
      <c r="S394" s="125">
        <f t="shared" si="434"/>
        <v>13.587510116609877</v>
      </c>
      <c r="T394" s="125">
        <f t="shared" si="436"/>
        <v>4.3890162274026885</v>
      </c>
      <c r="U394" s="125">
        <f t="shared" si="437"/>
        <v>0.42936531968487218</v>
      </c>
      <c r="V394" s="125">
        <f t="shared" si="435"/>
        <v>4.8183815470875606</v>
      </c>
      <c r="W394" s="125">
        <f t="shared" si="438"/>
        <v>18.405891663697439</v>
      </c>
      <c r="X394" s="125">
        <f t="shared" si="440"/>
        <v>4.3890162274026885</v>
      </c>
      <c r="Y394" s="125">
        <f t="shared" si="441"/>
        <v>0.5816261765728391</v>
      </c>
      <c r="Z394" s="125">
        <f t="shared" si="439"/>
        <v>4.9706424039755275</v>
      </c>
      <c r="AA394" s="125">
        <f t="shared" si="442"/>
        <v>23.376534067672967</v>
      </c>
      <c r="AB394" s="125">
        <f t="shared" si="444"/>
        <v>4.3890162274026885</v>
      </c>
      <c r="AC394" s="125">
        <f t="shared" si="445"/>
        <v>0.73869847653846588</v>
      </c>
      <c r="AD394" s="125">
        <f t="shared" si="443"/>
        <v>5.1277147039411544</v>
      </c>
      <c r="AE394" s="125">
        <f t="shared" si="446"/>
        <v>28.504248771614122</v>
      </c>
      <c r="AF394" s="125">
        <f t="shared" si="448"/>
        <v>4.3890162274026885</v>
      </c>
      <c r="AG394" s="125">
        <f t="shared" si="449"/>
        <v>0.90073426118300637</v>
      </c>
      <c r="AH394" s="125">
        <f t="shared" si="447"/>
        <v>5.2897504885856952</v>
      </c>
      <c r="AI394" s="125">
        <f t="shared" si="450"/>
        <v>33.793999260199811</v>
      </c>
      <c r="AJ394" s="125">
        <f t="shared" si="452"/>
        <v>4.3890162274026885</v>
      </c>
      <c r="AK394" s="125">
        <f t="shared" si="453"/>
        <v>1.0678903766223142</v>
      </c>
      <c r="AL394" s="125">
        <f t="shared" si="451"/>
        <v>5.4569066040250025</v>
      </c>
      <c r="AM394" s="125">
        <f t="shared" si="454"/>
        <v>39.250905864224819</v>
      </c>
      <c r="AN394" s="125">
        <f t="shared" si="456"/>
        <v>4.3890162274026885</v>
      </c>
      <c r="AO394" s="125">
        <f t="shared" si="457"/>
        <v>1.2403286253095045</v>
      </c>
      <c r="AP394" s="125">
        <f t="shared" si="455"/>
        <v>5.629344852712193</v>
      </c>
      <c r="AQ394" s="125">
        <f t="shared" si="458"/>
        <v>44.880250716937013</v>
      </c>
      <c r="AR394" s="125">
        <f t="shared" si="460"/>
        <v>4.3890162274026885</v>
      </c>
      <c r="AS394" s="125">
        <f t="shared" si="461"/>
        <v>1.4182159226552098</v>
      </c>
      <c r="AT394" s="125">
        <f t="shared" si="459"/>
        <v>5.8072321500578985</v>
      </c>
      <c r="AU394" s="125">
        <f t="shared" si="462"/>
        <v>50.687482866994912</v>
      </c>
      <c r="AV394" s="125">
        <f t="shared" si="464"/>
        <v>4.3890162274026885</v>
      </c>
      <c r="AW394" s="125">
        <f t="shared" si="465"/>
        <v>1.6017244585970394</v>
      </c>
      <c r="AX394" s="125">
        <f t="shared" si="463"/>
        <v>5.9907406859997279</v>
      </c>
      <c r="AY394" s="125">
        <f t="shared" si="466"/>
        <v>56.678223552994645</v>
      </c>
      <c r="AZ394" s="125">
        <f t="shared" si="468"/>
        <v>4.3890162274026885</v>
      </c>
      <c r="BA394" s="125">
        <f t="shared" si="469"/>
        <v>1.791031864274631</v>
      </c>
      <c r="BB394" s="125">
        <f t="shared" si="467"/>
        <v>6.1800480916773193</v>
      </c>
      <c r="BC394" s="125">
        <f t="shared" si="470"/>
        <v>62.858271644671959</v>
      </c>
      <c r="BD394" s="125">
        <f t="shared" si="472"/>
        <v>4.3890162274026885</v>
      </c>
      <c r="BE394" s="125">
        <f t="shared" si="473"/>
        <v>1.986321383971634</v>
      </c>
      <c r="BF394" s="125">
        <f t="shared" si="471"/>
        <v>6.3753376113743228</v>
      </c>
      <c r="BG394" s="125">
        <f t="shared" si="474"/>
        <v>69.233609256046279</v>
      </c>
      <c r="BH394" s="125">
        <f t="shared" si="476"/>
        <v>4.3890162274026885</v>
      </c>
      <c r="BI394" s="125">
        <f t="shared" si="477"/>
        <v>2.1877820524910625</v>
      </c>
      <c r="BJ394" s="125">
        <f t="shared" si="475"/>
        <v>6.576798279893751</v>
      </c>
      <c r="BK394" s="125">
        <f t="shared" si="478"/>
        <v>75.81040753594003</v>
      </c>
      <c r="BL394" s="125">
        <f t="shared" si="480"/>
        <v>4.3890162274026885</v>
      </c>
      <c r="BM394" s="125">
        <f t="shared" si="481"/>
        <v>2.3956088781357052</v>
      </c>
      <c r="BN394" s="125">
        <f t="shared" si="479"/>
        <v>6.7846251055383942</v>
      </c>
      <c r="BO394" s="125">
        <f t="shared" si="482"/>
        <v>82.595032641478426</v>
      </c>
      <c r="BP394" s="125">
        <f t="shared" si="484"/>
        <v>4.3890162274026885</v>
      </c>
      <c r="BQ394" s="125">
        <f t="shared" si="485"/>
        <v>2.6100030314707183</v>
      </c>
      <c r="BR394" s="125">
        <f t="shared" si="483"/>
        <v>6.9990192588734068</v>
      </c>
      <c r="BS394" s="125">
        <f t="shared" si="486"/>
        <v>89.594051900351843</v>
      </c>
      <c r="BT394" s="125">
        <f t="shared" si="488"/>
        <v>4.3890162274026885</v>
      </c>
      <c r="BU394" s="125">
        <f t="shared" si="489"/>
        <v>2.8311720400511184</v>
      </c>
      <c r="BV394" s="125">
        <f t="shared" si="487"/>
        <v>7.2201882674538069</v>
      </c>
      <c r="BW394" s="125">
        <f t="shared" si="490"/>
        <v>96.81424016780565</v>
      </c>
      <c r="BX394" s="125">
        <f t="shared" si="492"/>
        <v>4.3890162274026885</v>
      </c>
      <c r="BY394" s="125">
        <f t="shared" si="493"/>
        <v>3.0593299893026589</v>
      </c>
      <c r="BZ394" s="125">
        <f t="shared" si="491"/>
        <v>7.4483462167053478</v>
      </c>
      <c r="CA394" s="125">
        <f t="shared" si="494"/>
        <v>104.262586384511</v>
      </c>
      <c r="CB394" s="125">
        <f t="shared" si="496"/>
        <v>4.3890162274026885</v>
      </c>
      <c r="CC394" s="125">
        <f t="shared" si="497"/>
        <v>3.2946977297505478</v>
      </c>
      <c r="CD394" s="125">
        <f t="shared" si="495"/>
        <v>7.6837139571532358</v>
      </c>
      <c r="CE394" s="125">
        <f t="shared" si="498"/>
        <v>111.94630034166424</v>
      </c>
      <c r="CF394" s="125">
        <f t="shared" si="500"/>
        <v>4.3890162274026885</v>
      </c>
      <c r="CG394" s="125">
        <f t="shared" si="501"/>
        <v>3.5375030907965903</v>
      </c>
      <c r="CH394" s="125">
        <f t="shared" si="499"/>
        <v>7.9265193181992792</v>
      </c>
      <c r="CI394" s="125">
        <f t="shared" si="502"/>
        <v>119.87281965986352</v>
      </c>
      <c r="CJ394" s="125">
        <f t="shared" si="504"/>
        <v>4.3890162274026885</v>
      </c>
      <c r="CK394" s="125">
        <f t="shared" si="505"/>
        <v>3.7879811012516877</v>
      </c>
      <c r="CL394" s="125">
        <f t="shared" si="503"/>
        <v>8.1769973286543767</v>
      </c>
      <c r="CM394" s="125">
        <f t="shared" si="506"/>
        <v>128.0498169885179</v>
      </c>
      <c r="CN394" s="125">
        <f t="shared" si="508"/>
        <v>4.3890162274026885</v>
      </c>
      <c r="CO394" s="125">
        <f t="shared" si="509"/>
        <v>4.0463742168371661</v>
      </c>
      <c r="CP394" s="125">
        <f t="shared" si="507"/>
        <v>8.4353904442398537</v>
      </c>
      <c r="CQ394" s="125">
        <f t="shared" si="510"/>
        <v>136.48520743275776</v>
      </c>
      <c r="CR394" s="125">
        <f t="shared" si="512"/>
        <v>4.3890162274026885</v>
      </c>
      <c r="CS394" s="125">
        <f t="shared" si="513"/>
        <v>4.3129325548751458</v>
      </c>
      <c r="CT394" s="125">
        <f t="shared" si="511"/>
        <v>8.7019487822778352</v>
      </c>
      <c r="CU394" s="125">
        <f t="shared" si="514"/>
        <v>145.1871562150356</v>
      </c>
      <c r="CV394" s="125">
        <f t="shared" si="516"/>
        <v>4.3890162274026885</v>
      </c>
      <c r="CW394" s="125">
        <f t="shared" si="517"/>
        <v>4.587914136395125</v>
      </c>
      <c r="CX394" s="125">
        <f t="shared" si="515"/>
        <v>8.9769303637978126</v>
      </c>
      <c r="CY394" s="125">
        <f t="shared" si="518"/>
        <v>154.16408657883341</v>
      </c>
      <c r="CZ394" s="125">
        <f t="shared" si="520"/>
        <v>4.3890162274026885</v>
      </c>
      <c r="DA394" s="125">
        <f t="shared" si="521"/>
        <v>4.8715851358911362</v>
      </c>
      <c r="DB394" s="125">
        <f t="shared" si="519"/>
        <v>9.2606013632938247</v>
      </c>
      <c r="DC394" s="125">
        <f t="shared" si="522"/>
        <v>163.42468794212724</v>
      </c>
      <c r="DD394" s="125">
        <f t="shared" si="524"/>
        <v>4.3890162274026885</v>
      </c>
      <c r="DE394" s="125">
        <f t="shared" si="525"/>
        <v>5.1642201389712215</v>
      </c>
      <c r="DF394" s="125">
        <f t="shared" si="523"/>
        <v>9.553236366373909</v>
      </c>
      <c r="DG394" s="125">
        <f t="shared" si="526"/>
        <v>172.97792430850114</v>
      </c>
      <c r="DH394" s="125">
        <f t="shared" ref="DH394:DH402" si="528">$E$32*$D394</f>
        <v>4.3890162274026885</v>
      </c>
      <c r="DI394" s="125">
        <f t="shared" ref="DI394:DI402" si="529">$E$32*DG394</f>
        <v>5.4661024081486369</v>
      </c>
      <c r="DJ394" s="125">
        <f t="shared" si="527"/>
        <v>9.8551186355513245</v>
      </c>
      <c r="DK394" s="125">
        <f t="shared" ref="DK394:DK402" si="530">DG394+DH394+DI394</f>
        <v>182.83304294405247</v>
      </c>
      <c r="DL394" s="125">
        <f>$E$32*$D394</f>
        <v>4.3890162274026885</v>
      </c>
      <c r="DM394" s="125">
        <f>$E$32*DK394</f>
        <v>5.7775241570320581</v>
      </c>
      <c r="DN394" s="125">
        <f t="shared" ref="DN394:DN402" si="531">DL394+DM394</f>
        <v>10.166540384434747</v>
      </c>
      <c r="DO394" s="125"/>
      <c r="DP394" s="125"/>
      <c r="DQ394" s="125"/>
      <c r="DR394" s="125"/>
      <c r="DS394" s="125"/>
      <c r="DT394" s="125"/>
      <c r="DU394" s="125"/>
      <c r="DV394" s="125"/>
      <c r="DW394" s="125"/>
      <c r="DX394" s="125"/>
      <c r="DY394" s="125"/>
      <c r="DZ394" s="125"/>
      <c r="EA394" s="125"/>
      <c r="EB394" s="125"/>
      <c r="EC394" s="125"/>
      <c r="ED394" s="125"/>
      <c r="EE394" s="125"/>
      <c r="EF394" s="125"/>
      <c r="EG394" s="125"/>
      <c r="EH394" s="125"/>
      <c r="EI394" s="125"/>
      <c r="EJ394" s="125"/>
      <c r="EK394" s="125"/>
      <c r="EL394" s="125"/>
      <c r="EM394" s="125"/>
      <c r="EN394" s="125"/>
      <c r="EO394" s="125"/>
      <c r="EP394" s="125"/>
      <c r="EQ394" s="125"/>
      <c r="ER394" s="125"/>
      <c r="ES394" s="125"/>
      <c r="ET394" s="125"/>
      <c r="EU394" s="125">
        <f>'O duodécuplo'!$F$97*$D394*$B394</f>
        <v>122.89245436727528</v>
      </c>
      <c r="EV394" s="125">
        <f t="shared" si="420"/>
        <v>70.107128961212325</v>
      </c>
      <c r="EW394" s="125">
        <f t="shared" si="421"/>
        <v>192.9995833284876</v>
      </c>
    </row>
    <row r="395" spans="2:153" s="38" customFormat="1" ht="15.95" customHeight="1" x14ac:dyDescent="0.25">
      <c r="B395" s="98">
        <f t="shared" si="422"/>
        <v>29</v>
      </c>
      <c r="C395" s="125">
        <f t="shared" si="423"/>
        <v>331.89250191718025</v>
      </c>
      <c r="D395" s="125">
        <f t="shared" si="424"/>
        <v>134.63834682889942</v>
      </c>
      <c r="E395" s="125">
        <f t="shared" si="417"/>
        <v>197.25415508828084</v>
      </c>
      <c r="F395" s="140">
        <f t="shared" si="418"/>
        <v>1.4650666747932861</v>
      </c>
      <c r="G395" s="125">
        <v>0</v>
      </c>
      <c r="H395" s="125">
        <f t="shared" si="425"/>
        <v>4.2545717597932216</v>
      </c>
      <c r="I395" s="125">
        <v>0</v>
      </c>
      <c r="J395" s="125">
        <f t="shared" si="419"/>
        <v>4.2545717597932216</v>
      </c>
      <c r="K395" s="125">
        <f t="shared" si="426"/>
        <v>4.2545717597932216</v>
      </c>
      <c r="L395" s="125">
        <f t="shared" si="428"/>
        <v>4.2545717597932216</v>
      </c>
      <c r="M395" s="125">
        <f t="shared" si="429"/>
        <v>0.13444446760946582</v>
      </c>
      <c r="N395" s="125">
        <f t="shared" si="427"/>
        <v>4.3890162274026876</v>
      </c>
      <c r="O395" s="125">
        <f t="shared" si="430"/>
        <v>8.6435879871959092</v>
      </c>
      <c r="P395" s="125">
        <f t="shared" si="432"/>
        <v>4.2545717597932216</v>
      </c>
      <c r="Q395" s="125">
        <f t="shared" si="433"/>
        <v>0.27313738039539076</v>
      </c>
      <c r="R395" s="125">
        <f t="shared" si="431"/>
        <v>4.5277091401886125</v>
      </c>
      <c r="S395" s="125">
        <f t="shared" si="434"/>
        <v>13.17129712738452</v>
      </c>
      <c r="T395" s="125">
        <f t="shared" si="436"/>
        <v>4.2545717597932216</v>
      </c>
      <c r="U395" s="125">
        <f t="shared" si="437"/>
        <v>0.41621298922535088</v>
      </c>
      <c r="V395" s="125">
        <f t="shared" si="435"/>
        <v>4.6707847490185728</v>
      </c>
      <c r="W395" s="125">
        <f t="shared" si="438"/>
        <v>17.842081876403093</v>
      </c>
      <c r="X395" s="125">
        <f t="shared" si="440"/>
        <v>4.2545717597932216</v>
      </c>
      <c r="Y395" s="125">
        <f t="shared" si="441"/>
        <v>0.56380978729433773</v>
      </c>
      <c r="Z395" s="125">
        <f t="shared" si="439"/>
        <v>4.8183815470875597</v>
      </c>
      <c r="AA395" s="125">
        <f t="shared" si="442"/>
        <v>22.660463423490654</v>
      </c>
      <c r="AB395" s="125">
        <f t="shared" si="444"/>
        <v>4.2545717597932216</v>
      </c>
      <c r="AC395" s="125">
        <f t="shared" si="445"/>
        <v>0.71607064418230471</v>
      </c>
      <c r="AD395" s="125">
        <f t="shared" si="443"/>
        <v>4.9706424039755266</v>
      </c>
      <c r="AE395" s="125">
        <f t="shared" si="446"/>
        <v>27.631105827466182</v>
      </c>
      <c r="AF395" s="125">
        <f t="shared" si="448"/>
        <v>4.2545717597932216</v>
      </c>
      <c r="AG395" s="125">
        <f t="shared" si="449"/>
        <v>0.87314294414793148</v>
      </c>
      <c r="AH395" s="125">
        <f t="shared" si="447"/>
        <v>5.1277147039411535</v>
      </c>
      <c r="AI395" s="125">
        <f t="shared" si="450"/>
        <v>32.758820531407338</v>
      </c>
      <c r="AJ395" s="125">
        <f t="shared" si="452"/>
        <v>4.2545717597932216</v>
      </c>
      <c r="AK395" s="125">
        <f t="shared" si="453"/>
        <v>1.0351787287924721</v>
      </c>
      <c r="AL395" s="125">
        <f t="shared" si="451"/>
        <v>5.2897504885856934</v>
      </c>
      <c r="AM395" s="125">
        <f t="shared" si="454"/>
        <v>38.048571019993034</v>
      </c>
      <c r="AN395" s="125">
        <f t="shared" si="456"/>
        <v>4.2545717597932216</v>
      </c>
      <c r="AO395" s="125">
        <f t="shared" si="457"/>
        <v>1.2023348442317801</v>
      </c>
      <c r="AP395" s="125">
        <f t="shared" si="455"/>
        <v>5.4569066040250016</v>
      </c>
      <c r="AQ395" s="125">
        <f t="shared" si="458"/>
        <v>43.505477624018035</v>
      </c>
      <c r="AR395" s="125">
        <f t="shared" si="460"/>
        <v>4.2545717597932216</v>
      </c>
      <c r="AS395" s="125">
        <f t="shared" si="461"/>
        <v>1.3747730929189701</v>
      </c>
      <c r="AT395" s="125">
        <f t="shared" si="459"/>
        <v>5.6293448527121921</v>
      </c>
      <c r="AU395" s="125">
        <f t="shared" si="462"/>
        <v>49.134822476730228</v>
      </c>
      <c r="AV395" s="125">
        <f t="shared" si="464"/>
        <v>4.2545717597932216</v>
      </c>
      <c r="AW395" s="125">
        <f t="shared" si="465"/>
        <v>1.5526603902646754</v>
      </c>
      <c r="AX395" s="125">
        <f t="shared" si="463"/>
        <v>5.8072321500578967</v>
      </c>
      <c r="AY395" s="125">
        <f t="shared" si="466"/>
        <v>54.942054626788128</v>
      </c>
      <c r="AZ395" s="125">
        <f t="shared" si="468"/>
        <v>4.2545717597932216</v>
      </c>
      <c r="BA395" s="125">
        <f t="shared" si="469"/>
        <v>1.736168926206505</v>
      </c>
      <c r="BB395" s="125">
        <f t="shared" si="467"/>
        <v>5.990740685999727</v>
      </c>
      <c r="BC395" s="125">
        <f t="shared" si="470"/>
        <v>60.932795312787853</v>
      </c>
      <c r="BD395" s="125">
        <f t="shared" si="472"/>
        <v>4.2545717597932216</v>
      </c>
      <c r="BE395" s="125">
        <f t="shared" si="473"/>
        <v>1.9254763318840964</v>
      </c>
      <c r="BF395" s="125">
        <f t="shared" si="471"/>
        <v>6.1800480916773175</v>
      </c>
      <c r="BG395" s="125">
        <f t="shared" si="474"/>
        <v>67.112843404465167</v>
      </c>
      <c r="BH395" s="125">
        <f t="shared" si="476"/>
        <v>4.2545717597932216</v>
      </c>
      <c r="BI395" s="125">
        <f t="shared" si="477"/>
        <v>2.1207658515810994</v>
      </c>
      <c r="BJ395" s="125">
        <f t="shared" si="475"/>
        <v>6.375337611374321</v>
      </c>
      <c r="BK395" s="125">
        <f t="shared" si="478"/>
        <v>73.488181015839487</v>
      </c>
      <c r="BL395" s="125">
        <f t="shared" si="480"/>
        <v>4.2545717597932216</v>
      </c>
      <c r="BM395" s="125">
        <f t="shared" si="481"/>
        <v>2.3222265201005281</v>
      </c>
      <c r="BN395" s="125">
        <f t="shared" si="479"/>
        <v>6.5767982798937492</v>
      </c>
      <c r="BO395" s="125">
        <f t="shared" si="482"/>
        <v>80.064979295733238</v>
      </c>
      <c r="BP395" s="125">
        <f t="shared" si="484"/>
        <v>4.2545717597932216</v>
      </c>
      <c r="BQ395" s="125">
        <f t="shared" si="485"/>
        <v>2.5300533457451704</v>
      </c>
      <c r="BR395" s="125">
        <f t="shared" si="483"/>
        <v>6.7846251055383924</v>
      </c>
      <c r="BS395" s="125">
        <f t="shared" si="486"/>
        <v>86.849604401271634</v>
      </c>
      <c r="BT395" s="125">
        <f t="shared" si="488"/>
        <v>4.2545717597932216</v>
      </c>
      <c r="BU395" s="125">
        <f t="shared" si="489"/>
        <v>2.7444474990801839</v>
      </c>
      <c r="BV395" s="125">
        <f t="shared" si="487"/>
        <v>6.999019258873405</v>
      </c>
      <c r="BW395" s="125">
        <f t="shared" si="490"/>
        <v>93.848623660145037</v>
      </c>
      <c r="BX395" s="125">
        <f t="shared" si="492"/>
        <v>4.2545717597932216</v>
      </c>
      <c r="BY395" s="125">
        <f t="shared" si="493"/>
        <v>2.9656165076605836</v>
      </c>
      <c r="BZ395" s="125">
        <f t="shared" si="491"/>
        <v>7.2201882674538052</v>
      </c>
      <c r="CA395" s="125">
        <f t="shared" si="494"/>
        <v>101.06881192759884</v>
      </c>
      <c r="CB395" s="125">
        <f t="shared" si="496"/>
        <v>4.2545717597932216</v>
      </c>
      <c r="CC395" s="125">
        <f t="shared" si="497"/>
        <v>3.1937744569121236</v>
      </c>
      <c r="CD395" s="125">
        <f t="shared" si="495"/>
        <v>7.4483462167053451</v>
      </c>
      <c r="CE395" s="125">
        <f t="shared" si="498"/>
        <v>108.51715814430419</v>
      </c>
      <c r="CF395" s="125">
        <f t="shared" si="500"/>
        <v>4.2545717597932216</v>
      </c>
      <c r="CG395" s="125">
        <f t="shared" si="501"/>
        <v>3.4291421973600129</v>
      </c>
      <c r="CH395" s="125">
        <f t="shared" si="499"/>
        <v>7.683713957153234</v>
      </c>
      <c r="CI395" s="125">
        <f t="shared" si="502"/>
        <v>116.20087210145742</v>
      </c>
      <c r="CJ395" s="125">
        <f t="shared" si="504"/>
        <v>4.2545717597932216</v>
      </c>
      <c r="CK395" s="125">
        <f t="shared" si="505"/>
        <v>3.671947558406055</v>
      </c>
      <c r="CL395" s="125">
        <f t="shared" si="503"/>
        <v>7.9265193181992766</v>
      </c>
      <c r="CM395" s="125">
        <f t="shared" si="506"/>
        <v>124.1273914196567</v>
      </c>
      <c r="CN395" s="125">
        <f t="shared" si="508"/>
        <v>4.2545717597932216</v>
      </c>
      <c r="CO395" s="125">
        <f t="shared" si="509"/>
        <v>3.922425568861152</v>
      </c>
      <c r="CP395" s="125">
        <f t="shared" si="507"/>
        <v>8.1769973286543731</v>
      </c>
      <c r="CQ395" s="125">
        <f t="shared" si="510"/>
        <v>132.30438874831106</v>
      </c>
      <c r="CR395" s="125">
        <f t="shared" si="512"/>
        <v>4.2545717597932216</v>
      </c>
      <c r="CS395" s="125">
        <f t="shared" si="513"/>
        <v>4.1808186844466295</v>
      </c>
      <c r="CT395" s="125">
        <f t="shared" si="511"/>
        <v>8.4353904442398502</v>
      </c>
      <c r="CU395" s="125">
        <f t="shared" si="514"/>
        <v>140.73977919255088</v>
      </c>
      <c r="CV395" s="125">
        <f t="shared" si="516"/>
        <v>4.2545717597932216</v>
      </c>
      <c r="CW395" s="125">
        <f t="shared" si="517"/>
        <v>4.4473770224846083</v>
      </c>
      <c r="CX395" s="125">
        <f t="shared" si="515"/>
        <v>8.7019487822778299</v>
      </c>
      <c r="CY395" s="125">
        <f t="shared" si="518"/>
        <v>149.44172797482869</v>
      </c>
      <c r="CZ395" s="125">
        <f t="shared" si="520"/>
        <v>4.2545717597932216</v>
      </c>
      <c r="DA395" s="125">
        <f t="shared" si="521"/>
        <v>4.7223586040045875</v>
      </c>
      <c r="DB395" s="125">
        <f t="shared" si="519"/>
        <v>8.9769303637978091</v>
      </c>
      <c r="DC395" s="125">
        <f t="shared" si="522"/>
        <v>158.4186583386265</v>
      </c>
      <c r="DD395" s="125">
        <f t="shared" si="524"/>
        <v>4.2545717597932216</v>
      </c>
      <c r="DE395" s="125">
        <f t="shared" si="525"/>
        <v>5.0060296035005978</v>
      </c>
      <c r="DF395" s="125">
        <f t="shared" si="523"/>
        <v>9.2606013632938193</v>
      </c>
      <c r="DG395" s="125">
        <f t="shared" si="526"/>
        <v>167.6792597019203</v>
      </c>
      <c r="DH395" s="125">
        <f t="shared" si="528"/>
        <v>4.2545717597932216</v>
      </c>
      <c r="DI395" s="125">
        <f t="shared" si="529"/>
        <v>5.2986646065806822</v>
      </c>
      <c r="DJ395" s="125">
        <f t="shared" si="527"/>
        <v>9.5532363663739037</v>
      </c>
      <c r="DK395" s="125">
        <f t="shared" si="530"/>
        <v>177.23249606829418</v>
      </c>
      <c r="DL395" s="125">
        <f t="shared" ref="DL395:DL402" si="532">$E$32*$D395</f>
        <v>4.2545717597932216</v>
      </c>
      <c r="DM395" s="125">
        <f t="shared" ref="DM395:DM402" si="533">$E$32*DK395</f>
        <v>5.6005468757580967</v>
      </c>
      <c r="DN395" s="125">
        <f t="shared" si="531"/>
        <v>9.8551186355513174</v>
      </c>
      <c r="DO395" s="125">
        <f t="shared" ref="DO395:DO402" si="534">DK395+DL395+DM395</f>
        <v>187.08761470384547</v>
      </c>
      <c r="DP395" s="125">
        <f>$E$32*$D395</f>
        <v>4.2545717597932216</v>
      </c>
      <c r="DQ395" s="125">
        <f>$E$32*DO395</f>
        <v>5.911968624641518</v>
      </c>
      <c r="DR395" s="125">
        <f t="shared" ref="DR395:DR402" si="535">DP395+DQ395</f>
        <v>10.16654038443474</v>
      </c>
      <c r="DS395" s="125"/>
      <c r="DT395" s="125"/>
      <c r="DU395" s="125"/>
      <c r="DV395" s="125"/>
      <c r="DW395" s="125"/>
      <c r="DX395" s="125"/>
      <c r="DY395" s="125"/>
      <c r="DZ395" s="125"/>
      <c r="EA395" s="125"/>
      <c r="EB395" s="125"/>
      <c r="EC395" s="125"/>
      <c r="ED395" s="125"/>
      <c r="EE395" s="125"/>
      <c r="EF395" s="125"/>
      <c r="EG395" s="125"/>
      <c r="EH395" s="125"/>
      <c r="EI395" s="125"/>
      <c r="EJ395" s="125"/>
      <c r="EK395" s="125"/>
      <c r="EL395" s="125"/>
      <c r="EM395" s="125"/>
      <c r="EN395" s="125"/>
      <c r="EO395" s="125"/>
      <c r="EP395" s="125"/>
      <c r="EQ395" s="125"/>
      <c r="ER395" s="125"/>
      <c r="ES395" s="125"/>
      <c r="ET395" s="125"/>
      <c r="EU395" s="125">
        <f>'O duodécuplo'!$F$97*$D395*$B395</f>
        <v>123.38258103400342</v>
      </c>
      <c r="EV395" s="125">
        <f t="shared" si="420"/>
        <v>73.871574054277417</v>
      </c>
      <c r="EW395" s="125">
        <f t="shared" si="421"/>
        <v>197.25415508828084</v>
      </c>
    </row>
    <row r="396" spans="2:153" s="38" customFormat="1" ht="15.95" customHeight="1" x14ac:dyDescent="0.25">
      <c r="B396" s="98">
        <f t="shared" si="422"/>
        <v>30</v>
      </c>
      <c r="C396" s="125">
        <f t="shared" si="423"/>
        <v>331.89250191718025</v>
      </c>
      <c r="D396" s="125">
        <f t="shared" si="424"/>
        <v>130.51410123003046</v>
      </c>
      <c r="E396" s="125">
        <f t="shared" si="417"/>
        <v>201.37840068714979</v>
      </c>
      <c r="F396" s="140">
        <f t="shared" si="418"/>
        <v>1.5429627817167537</v>
      </c>
      <c r="G396" s="125">
        <v>0</v>
      </c>
      <c r="H396" s="125">
        <f t="shared" si="425"/>
        <v>4.1242455988689626</v>
      </c>
      <c r="I396" s="125">
        <v>0</v>
      </c>
      <c r="J396" s="125">
        <f t="shared" si="419"/>
        <v>4.1242455988689626</v>
      </c>
      <c r="K396" s="125">
        <f t="shared" si="426"/>
        <v>4.1242455988689626</v>
      </c>
      <c r="L396" s="125">
        <f t="shared" si="428"/>
        <v>4.1242455988689626</v>
      </c>
      <c r="M396" s="125">
        <f t="shared" si="429"/>
        <v>0.13032616092425922</v>
      </c>
      <c r="N396" s="125">
        <f t="shared" si="427"/>
        <v>4.2545717597932216</v>
      </c>
      <c r="O396" s="125">
        <f t="shared" si="430"/>
        <v>8.3788173586621841</v>
      </c>
      <c r="P396" s="125">
        <f t="shared" si="432"/>
        <v>4.1242455988689626</v>
      </c>
      <c r="Q396" s="125">
        <f t="shared" si="433"/>
        <v>0.26477062853372507</v>
      </c>
      <c r="R396" s="125">
        <f t="shared" si="431"/>
        <v>4.3890162274026876</v>
      </c>
      <c r="S396" s="125">
        <f t="shared" si="434"/>
        <v>12.767833586064871</v>
      </c>
      <c r="T396" s="125">
        <f t="shared" si="436"/>
        <v>4.1242455988689626</v>
      </c>
      <c r="U396" s="125">
        <f t="shared" si="437"/>
        <v>0.40346354131964995</v>
      </c>
      <c r="V396" s="125">
        <f t="shared" si="435"/>
        <v>4.5277091401886125</v>
      </c>
      <c r="W396" s="125">
        <f t="shared" si="438"/>
        <v>17.295542726253483</v>
      </c>
      <c r="X396" s="125">
        <f t="shared" si="440"/>
        <v>4.1242455988689626</v>
      </c>
      <c r="Y396" s="125">
        <f t="shared" si="441"/>
        <v>0.54653915014961008</v>
      </c>
      <c r="Z396" s="125">
        <f t="shared" si="439"/>
        <v>4.6707847490185728</v>
      </c>
      <c r="AA396" s="125">
        <f t="shared" si="442"/>
        <v>21.966327475272056</v>
      </c>
      <c r="AB396" s="125">
        <f t="shared" si="444"/>
        <v>4.1242455988689626</v>
      </c>
      <c r="AC396" s="125">
        <f t="shared" si="445"/>
        <v>0.69413594821859703</v>
      </c>
      <c r="AD396" s="125">
        <f t="shared" si="443"/>
        <v>4.8183815470875597</v>
      </c>
      <c r="AE396" s="125">
        <f t="shared" si="446"/>
        <v>26.784709022359618</v>
      </c>
      <c r="AF396" s="125">
        <f t="shared" si="448"/>
        <v>4.1242455988689626</v>
      </c>
      <c r="AG396" s="125">
        <f t="shared" si="449"/>
        <v>0.84639680510656401</v>
      </c>
      <c r="AH396" s="125">
        <f t="shared" si="447"/>
        <v>4.9706424039755266</v>
      </c>
      <c r="AI396" s="125">
        <f t="shared" si="450"/>
        <v>31.755351426335146</v>
      </c>
      <c r="AJ396" s="125">
        <f t="shared" si="452"/>
        <v>4.1242455988689626</v>
      </c>
      <c r="AK396" s="125">
        <f t="shared" si="453"/>
        <v>1.0034691050721907</v>
      </c>
      <c r="AL396" s="125">
        <f t="shared" si="451"/>
        <v>5.1277147039411535</v>
      </c>
      <c r="AM396" s="125">
        <f t="shared" si="454"/>
        <v>36.883066130276298</v>
      </c>
      <c r="AN396" s="125">
        <f t="shared" si="456"/>
        <v>4.1242455988689626</v>
      </c>
      <c r="AO396" s="125">
        <f t="shared" si="457"/>
        <v>1.1655048897167311</v>
      </c>
      <c r="AP396" s="125">
        <f t="shared" si="455"/>
        <v>5.2897504885856934</v>
      </c>
      <c r="AQ396" s="125">
        <f t="shared" si="458"/>
        <v>42.172816618861987</v>
      </c>
      <c r="AR396" s="125">
        <f t="shared" si="460"/>
        <v>4.1242455988689626</v>
      </c>
      <c r="AS396" s="125">
        <f t="shared" si="461"/>
        <v>1.3326610051560388</v>
      </c>
      <c r="AT396" s="125">
        <f t="shared" si="459"/>
        <v>5.4569066040250016</v>
      </c>
      <c r="AU396" s="125">
        <f t="shared" si="462"/>
        <v>47.629723222886987</v>
      </c>
      <c r="AV396" s="125">
        <f t="shared" si="464"/>
        <v>4.1242455988689626</v>
      </c>
      <c r="AW396" s="125">
        <f t="shared" si="465"/>
        <v>1.5050992538432288</v>
      </c>
      <c r="AX396" s="125">
        <f t="shared" si="463"/>
        <v>5.6293448527121912</v>
      </c>
      <c r="AY396" s="125">
        <f t="shared" si="466"/>
        <v>53.259068075599174</v>
      </c>
      <c r="AZ396" s="125">
        <f t="shared" si="468"/>
        <v>4.1242455988689626</v>
      </c>
      <c r="BA396" s="125">
        <f t="shared" si="469"/>
        <v>1.6829865511889341</v>
      </c>
      <c r="BB396" s="125">
        <f t="shared" si="467"/>
        <v>5.8072321500578967</v>
      </c>
      <c r="BC396" s="125">
        <f t="shared" si="470"/>
        <v>59.066300225657066</v>
      </c>
      <c r="BD396" s="125">
        <f t="shared" si="472"/>
        <v>4.1242455988689626</v>
      </c>
      <c r="BE396" s="125">
        <f t="shared" si="473"/>
        <v>1.8664950871307635</v>
      </c>
      <c r="BF396" s="125">
        <f t="shared" si="471"/>
        <v>5.9907406859997261</v>
      </c>
      <c r="BG396" s="125">
        <f t="shared" si="474"/>
        <v>65.057040911656784</v>
      </c>
      <c r="BH396" s="125">
        <f t="shared" si="476"/>
        <v>4.1242455988689626</v>
      </c>
      <c r="BI396" s="125">
        <f t="shared" si="477"/>
        <v>2.0558024928083545</v>
      </c>
      <c r="BJ396" s="125">
        <f t="shared" si="475"/>
        <v>6.1800480916773175</v>
      </c>
      <c r="BK396" s="125">
        <f t="shared" si="478"/>
        <v>71.237089003334106</v>
      </c>
      <c r="BL396" s="125">
        <f t="shared" si="480"/>
        <v>4.1242455988689626</v>
      </c>
      <c r="BM396" s="125">
        <f t="shared" si="481"/>
        <v>2.251092012505358</v>
      </c>
      <c r="BN396" s="125">
        <f t="shared" si="479"/>
        <v>6.3753376113743201</v>
      </c>
      <c r="BO396" s="125">
        <f t="shared" si="482"/>
        <v>77.612426614708426</v>
      </c>
      <c r="BP396" s="125">
        <f t="shared" si="484"/>
        <v>4.1242455988689626</v>
      </c>
      <c r="BQ396" s="125">
        <f t="shared" si="485"/>
        <v>2.4525526810247866</v>
      </c>
      <c r="BR396" s="125">
        <f t="shared" si="483"/>
        <v>6.5767982798937492</v>
      </c>
      <c r="BS396" s="125">
        <f t="shared" si="486"/>
        <v>84.189224894602177</v>
      </c>
      <c r="BT396" s="125">
        <f t="shared" si="488"/>
        <v>4.1242455988689626</v>
      </c>
      <c r="BU396" s="125">
        <f t="shared" si="489"/>
        <v>2.6603795066694289</v>
      </c>
      <c r="BV396" s="125">
        <f t="shared" si="487"/>
        <v>6.7846251055383915</v>
      </c>
      <c r="BW396" s="125">
        <f t="shared" si="490"/>
        <v>90.973850000140573</v>
      </c>
      <c r="BX396" s="125">
        <f t="shared" si="492"/>
        <v>4.1242455988689626</v>
      </c>
      <c r="BY396" s="125">
        <f t="shared" si="493"/>
        <v>2.8747736600044425</v>
      </c>
      <c r="BZ396" s="125">
        <f t="shared" si="491"/>
        <v>6.999019258873405</v>
      </c>
      <c r="CA396" s="125">
        <f t="shared" si="494"/>
        <v>97.972869259013976</v>
      </c>
      <c r="CB396" s="125">
        <f t="shared" si="496"/>
        <v>4.1242455988689626</v>
      </c>
      <c r="CC396" s="125">
        <f t="shared" si="497"/>
        <v>3.0959426685848421</v>
      </c>
      <c r="CD396" s="125">
        <f t="shared" si="495"/>
        <v>7.2201882674538052</v>
      </c>
      <c r="CE396" s="125">
        <f t="shared" si="498"/>
        <v>105.19305752646778</v>
      </c>
      <c r="CF396" s="125">
        <f t="shared" si="500"/>
        <v>4.1242455988689626</v>
      </c>
      <c r="CG396" s="125">
        <f t="shared" si="501"/>
        <v>3.3241006178363821</v>
      </c>
      <c r="CH396" s="125">
        <f t="shared" si="499"/>
        <v>7.4483462167053442</v>
      </c>
      <c r="CI396" s="125">
        <f t="shared" si="502"/>
        <v>112.64140374317313</v>
      </c>
      <c r="CJ396" s="125">
        <f t="shared" si="504"/>
        <v>4.1242455988689626</v>
      </c>
      <c r="CK396" s="125">
        <f t="shared" si="505"/>
        <v>3.559468358284271</v>
      </c>
      <c r="CL396" s="125">
        <f t="shared" si="503"/>
        <v>7.683713957153234</v>
      </c>
      <c r="CM396" s="125">
        <f t="shared" si="506"/>
        <v>120.32511770032637</v>
      </c>
      <c r="CN396" s="125">
        <f t="shared" si="508"/>
        <v>4.1242455988689626</v>
      </c>
      <c r="CO396" s="125">
        <f t="shared" si="509"/>
        <v>3.8022737193303136</v>
      </c>
      <c r="CP396" s="125">
        <f t="shared" si="507"/>
        <v>7.9265193181992757</v>
      </c>
      <c r="CQ396" s="125">
        <f t="shared" si="510"/>
        <v>128.25163701852566</v>
      </c>
      <c r="CR396" s="125">
        <f t="shared" si="512"/>
        <v>4.1242455988689626</v>
      </c>
      <c r="CS396" s="125">
        <f t="shared" si="513"/>
        <v>4.0527517297854114</v>
      </c>
      <c r="CT396" s="125">
        <f t="shared" si="511"/>
        <v>8.1769973286543731</v>
      </c>
      <c r="CU396" s="125">
        <f t="shared" si="514"/>
        <v>136.42863434718001</v>
      </c>
      <c r="CV396" s="125">
        <f t="shared" si="516"/>
        <v>4.1242455988689626</v>
      </c>
      <c r="CW396" s="125">
        <f t="shared" si="517"/>
        <v>4.3111448453708885</v>
      </c>
      <c r="CX396" s="125">
        <f t="shared" si="515"/>
        <v>8.4353904442398502</v>
      </c>
      <c r="CY396" s="125">
        <f t="shared" si="518"/>
        <v>144.86402479141984</v>
      </c>
      <c r="CZ396" s="125">
        <f t="shared" si="520"/>
        <v>4.1242455988689626</v>
      </c>
      <c r="DA396" s="125">
        <f t="shared" si="521"/>
        <v>4.5777031834088673</v>
      </c>
      <c r="DB396" s="125">
        <f t="shared" si="519"/>
        <v>8.7019487822778299</v>
      </c>
      <c r="DC396" s="125">
        <f t="shared" si="522"/>
        <v>153.56597357369765</v>
      </c>
      <c r="DD396" s="125">
        <f t="shared" si="524"/>
        <v>4.1242455988689626</v>
      </c>
      <c r="DE396" s="125">
        <f t="shared" si="525"/>
        <v>4.8526847649288465</v>
      </c>
      <c r="DF396" s="125">
        <f t="shared" si="523"/>
        <v>8.9769303637978091</v>
      </c>
      <c r="DG396" s="125">
        <f t="shared" si="526"/>
        <v>162.54290393749545</v>
      </c>
      <c r="DH396" s="125">
        <f t="shared" si="528"/>
        <v>4.1242455988689626</v>
      </c>
      <c r="DI396" s="125">
        <f t="shared" si="529"/>
        <v>5.1363557644248568</v>
      </c>
      <c r="DJ396" s="125">
        <f t="shared" si="527"/>
        <v>9.2606013632938193</v>
      </c>
      <c r="DK396" s="125">
        <f t="shared" si="530"/>
        <v>171.80350530078925</v>
      </c>
      <c r="DL396" s="125">
        <f t="shared" si="532"/>
        <v>4.1242455988689626</v>
      </c>
      <c r="DM396" s="125">
        <f t="shared" si="533"/>
        <v>5.4289907675049411</v>
      </c>
      <c r="DN396" s="125">
        <f t="shared" si="531"/>
        <v>9.5532363663739037</v>
      </c>
      <c r="DO396" s="125">
        <f t="shared" si="534"/>
        <v>181.35674166716313</v>
      </c>
      <c r="DP396" s="125">
        <f t="shared" ref="DP396:DP402" si="536">$E$32*$D396</f>
        <v>4.1242455988689626</v>
      </c>
      <c r="DQ396" s="125">
        <f t="shared" ref="DQ396:DQ402" si="537">$E$32*DO396</f>
        <v>5.7308730366823557</v>
      </c>
      <c r="DR396" s="125">
        <f t="shared" si="535"/>
        <v>9.8551186355513174</v>
      </c>
      <c r="DS396" s="125">
        <f t="shared" ref="DS396:DS402" si="538">DO396+DP396+DQ396</f>
        <v>191.21186030271446</v>
      </c>
      <c r="DT396" s="125">
        <f>$E$32*$D396</f>
        <v>4.1242455988689626</v>
      </c>
      <c r="DU396" s="125">
        <f>$E$32*DS396</f>
        <v>6.0422947855657778</v>
      </c>
      <c r="DV396" s="125">
        <f t="shared" ref="DV396:DV402" si="539">DT396+DU396</f>
        <v>10.16654038443474</v>
      </c>
      <c r="DW396" s="125"/>
      <c r="DX396" s="125"/>
      <c r="DY396" s="125"/>
      <c r="DZ396" s="125"/>
      <c r="EA396" s="125"/>
      <c r="EB396" s="125"/>
      <c r="EC396" s="125"/>
      <c r="ED396" s="125"/>
      <c r="EE396" s="125"/>
      <c r="EF396" s="125"/>
      <c r="EG396" s="125"/>
      <c r="EH396" s="125"/>
      <c r="EI396" s="125"/>
      <c r="EJ396" s="125"/>
      <c r="EK396" s="125"/>
      <c r="EL396" s="125"/>
      <c r="EM396" s="125"/>
      <c r="EN396" s="125"/>
      <c r="EO396" s="125"/>
      <c r="EP396" s="125"/>
      <c r="EQ396" s="125"/>
      <c r="ER396" s="125"/>
      <c r="ES396" s="125"/>
      <c r="ET396" s="125"/>
      <c r="EU396" s="125">
        <f>'O duodécuplo'!$F$97*$D396*$B396</f>
        <v>123.72736796606888</v>
      </c>
      <c r="EV396" s="125">
        <f t="shared" si="420"/>
        <v>77.651032721080909</v>
      </c>
      <c r="EW396" s="125">
        <f t="shared" si="421"/>
        <v>201.37840068714979</v>
      </c>
    </row>
    <row r="397" spans="2:153" s="38" customFormat="1" ht="15.95" customHeight="1" x14ac:dyDescent="0.25">
      <c r="B397" s="98">
        <f t="shared" si="422"/>
        <v>31</v>
      </c>
      <c r="C397" s="125">
        <f t="shared" si="423"/>
        <v>331.89250191718025</v>
      </c>
      <c r="D397" s="125">
        <f t="shared" si="424"/>
        <v>126.51618963748589</v>
      </c>
      <c r="E397" s="125">
        <f t="shared" si="417"/>
        <v>205.37631227969436</v>
      </c>
      <c r="F397" s="140">
        <f t="shared" si="418"/>
        <v>1.6233204056190034</v>
      </c>
      <c r="G397" s="125">
        <v>0</v>
      </c>
      <c r="H397" s="125">
        <f t="shared" si="425"/>
        <v>3.9979115925445545</v>
      </c>
      <c r="I397" s="125">
        <v>0</v>
      </c>
      <c r="J397" s="125">
        <f t="shared" si="419"/>
        <v>3.9979115925445545</v>
      </c>
      <c r="K397" s="125">
        <f t="shared" si="426"/>
        <v>3.9979115925445545</v>
      </c>
      <c r="L397" s="125">
        <f t="shared" si="428"/>
        <v>3.9979115925445545</v>
      </c>
      <c r="M397" s="125">
        <f t="shared" si="429"/>
        <v>0.12633400632440794</v>
      </c>
      <c r="N397" s="125">
        <f t="shared" si="427"/>
        <v>4.1242455988689626</v>
      </c>
      <c r="O397" s="125">
        <f t="shared" si="430"/>
        <v>8.1221571914135176</v>
      </c>
      <c r="P397" s="125">
        <f t="shared" si="432"/>
        <v>3.9979115925445545</v>
      </c>
      <c r="Q397" s="125">
        <f t="shared" si="433"/>
        <v>0.25666016724866719</v>
      </c>
      <c r="R397" s="125">
        <f t="shared" si="431"/>
        <v>4.2545717597932216</v>
      </c>
      <c r="S397" s="125">
        <f t="shared" si="434"/>
        <v>12.376728951206738</v>
      </c>
      <c r="T397" s="125">
        <f t="shared" si="436"/>
        <v>3.9979115925445545</v>
      </c>
      <c r="U397" s="125">
        <f t="shared" si="437"/>
        <v>0.39110463485813296</v>
      </c>
      <c r="V397" s="125">
        <f t="shared" si="435"/>
        <v>4.3890162274026876</v>
      </c>
      <c r="W397" s="125">
        <f t="shared" si="438"/>
        <v>16.765745178609428</v>
      </c>
      <c r="X397" s="125">
        <f t="shared" si="440"/>
        <v>3.9979115925445545</v>
      </c>
      <c r="Y397" s="125">
        <f t="shared" si="441"/>
        <v>0.52979754764405795</v>
      </c>
      <c r="Z397" s="125">
        <f t="shared" si="439"/>
        <v>4.5277091401886125</v>
      </c>
      <c r="AA397" s="125">
        <f t="shared" si="442"/>
        <v>21.293454318798041</v>
      </c>
      <c r="AB397" s="125">
        <f t="shared" si="444"/>
        <v>3.9979115925445545</v>
      </c>
      <c r="AC397" s="125">
        <f t="shared" si="445"/>
        <v>0.67287315647401813</v>
      </c>
      <c r="AD397" s="125">
        <f t="shared" si="443"/>
        <v>4.6707847490185728</v>
      </c>
      <c r="AE397" s="125">
        <f t="shared" si="446"/>
        <v>25.964239067816614</v>
      </c>
      <c r="AF397" s="125">
        <f t="shared" si="448"/>
        <v>3.9979115925445545</v>
      </c>
      <c r="AG397" s="125">
        <f t="shared" si="449"/>
        <v>0.82046995454300509</v>
      </c>
      <c r="AH397" s="125">
        <f t="shared" si="447"/>
        <v>4.8183815470875597</v>
      </c>
      <c r="AI397" s="125">
        <f t="shared" si="450"/>
        <v>30.782620614904172</v>
      </c>
      <c r="AJ397" s="125">
        <f t="shared" si="452"/>
        <v>3.9979115925445545</v>
      </c>
      <c r="AK397" s="125">
        <f t="shared" si="453"/>
        <v>0.97273081143097195</v>
      </c>
      <c r="AL397" s="125">
        <f t="shared" si="451"/>
        <v>4.9706424039755266</v>
      </c>
      <c r="AM397" s="125">
        <f t="shared" si="454"/>
        <v>35.7532630188797</v>
      </c>
      <c r="AN397" s="125">
        <f t="shared" si="456"/>
        <v>3.9979115925445545</v>
      </c>
      <c r="AO397" s="125">
        <f t="shared" si="457"/>
        <v>1.1298031113965987</v>
      </c>
      <c r="AP397" s="125">
        <f t="shared" si="455"/>
        <v>5.1277147039411535</v>
      </c>
      <c r="AQ397" s="125">
        <f t="shared" si="458"/>
        <v>40.880977722820852</v>
      </c>
      <c r="AR397" s="125">
        <f t="shared" si="460"/>
        <v>3.9979115925445545</v>
      </c>
      <c r="AS397" s="125">
        <f t="shared" si="461"/>
        <v>1.2918388960411391</v>
      </c>
      <c r="AT397" s="125">
        <f t="shared" si="459"/>
        <v>5.2897504885856934</v>
      </c>
      <c r="AU397" s="125">
        <f t="shared" si="462"/>
        <v>46.170728211406548</v>
      </c>
      <c r="AV397" s="125">
        <f t="shared" si="464"/>
        <v>3.9979115925445545</v>
      </c>
      <c r="AW397" s="125">
        <f t="shared" si="465"/>
        <v>1.4589950114804471</v>
      </c>
      <c r="AX397" s="125">
        <f t="shared" si="463"/>
        <v>5.4569066040250016</v>
      </c>
      <c r="AY397" s="125">
        <f t="shared" si="466"/>
        <v>51.627634815431549</v>
      </c>
      <c r="AZ397" s="125">
        <f t="shared" si="468"/>
        <v>3.9979115925445545</v>
      </c>
      <c r="BA397" s="125">
        <f t="shared" si="469"/>
        <v>1.6314332601676371</v>
      </c>
      <c r="BB397" s="125">
        <f t="shared" si="467"/>
        <v>5.6293448527121921</v>
      </c>
      <c r="BC397" s="125">
        <f t="shared" si="470"/>
        <v>57.256979668143742</v>
      </c>
      <c r="BD397" s="125">
        <f t="shared" si="472"/>
        <v>3.9979115925445545</v>
      </c>
      <c r="BE397" s="125">
        <f t="shared" si="473"/>
        <v>1.8093205575133424</v>
      </c>
      <c r="BF397" s="125">
        <f t="shared" si="471"/>
        <v>5.8072321500578967</v>
      </c>
      <c r="BG397" s="125">
        <f t="shared" si="474"/>
        <v>63.064211818201642</v>
      </c>
      <c r="BH397" s="125">
        <f t="shared" si="476"/>
        <v>3.9979115925445545</v>
      </c>
      <c r="BI397" s="125">
        <f t="shared" si="477"/>
        <v>1.992829093455172</v>
      </c>
      <c r="BJ397" s="125">
        <f t="shared" si="475"/>
        <v>5.990740685999727</v>
      </c>
      <c r="BK397" s="125">
        <f t="shared" si="478"/>
        <v>69.054952504201367</v>
      </c>
      <c r="BL397" s="125">
        <f t="shared" si="480"/>
        <v>3.9979115925445545</v>
      </c>
      <c r="BM397" s="125">
        <f t="shared" si="481"/>
        <v>2.1821364991327634</v>
      </c>
      <c r="BN397" s="125">
        <f t="shared" si="479"/>
        <v>6.1800480916773175</v>
      </c>
      <c r="BO397" s="125">
        <f t="shared" si="482"/>
        <v>75.235000595878688</v>
      </c>
      <c r="BP397" s="125">
        <f t="shared" si="484"/>
        <v>3.9979115925445545</v>
      </c>
      <c r="BQ397" s="125">
        <f t="shared" si="485"/>
        <v>2.3774260188297669</v>
      </c>
      <c r="BR397" s="125">
        <f t="shared" si="483"/>
        <v>6.3753376113743219</v>
      </c>
      <c r="BS397" s="125">
        <f t="shared" si="486"/>
        <v>81.610338207253008</v>
      </c>
      <c r="BT397" s="125">
        <f t="shared" si="488"/>
        <v>3.9979115925445545</v>
      </c>
      <c r="BU397" s="125">
        <f t="shared" si="489"/>
        <v>2.5788866873491951</v>
      </c>
      <c r="BV397" s="125">
        <f t="shared" si="487"/>
        <v>6.5767982798937492</v>
      </c>
      <c r="BW397" s="125">
        <f t="shared" si="490"/>
        <v>88.187136487146759</v>
      </c>
      <c r="BX397" s="125">
        <f t="shared" si="492"/>
        <v>3.9979115925445545</v>
      </c>
      <c r="BY397" s="125">
        <f t="shared" si="493"/>
        <v>2.7867135129938378</v>
      </c>
      <c r="BZ397" s="125">
        <f t="shared" si="491"/>
        <v>6.7846251055383924</v>
      </c>
      <c r="CA397" s="125">
        <f t="shared" si="494"/>
        <v>94.971761592685155</v>
      </c>
      <c r="CB397" s="125">
        <f t="shared" si="496"/>
        <v>3.9979115925445545</v>
      </c>
      <c r="CC397" s="125">
        <f t="shared" si="497"/>
        <v>3.0011076663288514</v>
      </c>
      <c r="CD397" s="125">
        <f t="shared" si="495"/>
        <v>6.9990192588734059</v>
      </c>
      <c r="CE397" s="125">
        <f t="shared" si="498"/>
        <v>101.97078085155856</v>
      </c>
      <c r="CF397" s="125">
        <f t="shared" si="500"/>
        <v>3.9979115925445545</v>
      </c>
      <c r="CG397" s="125">
        <f t="shared" si="501"/>
        <v>3.2222766749092506</v>
      </c>
      <c r="CH397" s="125">
        <f t="shared" si="499"/>
        <v>7.2201882674538052</v>
      </c>
      <c r="CI397" s="125">
        <f t="shared" si="502"/>
        <v>109.19096911901237</v>
      </c>
      <c r="CJ397" s="125">
        <f t="shared" si="504"/>
        <v>3.9979115925445545</v>
      </c>
      <c r="CK397" s="125">
        <f t="shared" si="505"/>
        <v>3.4504346241607911</v>
      </c>
      <c r="CL397" s="125">
        <f t="shared" si="503"/>
        <v>7.448346216705346</v>
      </c>
      <c r="CM397" s="125">
        <f t="shared" si="506"/>
        <v>116.63931533571771</v>
      </c>
      <c r="CN397" s="125">
        <f t="shared" si="508"/>
        <v>3.9979115925445545</v>
      </c>
      <c r="CO397" s="125">
        <f t="shared" si="509"/>
        <v>3.6858023646086799</v>
      </c>
      <c r="CP397" s="125">
        <f t="shared" si="507"/>
        <v>7.683713957153234</v>
      </c>
      <c r="CQ397" s="125">
        <f t="shared" si="510"/>
        <v>124.32302929287094</v>
      </c>
      <c r="CR397" s="125">
        <f t="shared" si="512"/>
        <v>3.9979115925445545</v>
      </c>
      <c r="CS397" s="125">
        <f t="shared" si="513"/>
        <v>3.928607725654722</v>
      </c>
      <c r="CT397" s="125">
        <f t="shared" si="511"/>
        <v>7.9265193181992766</v>
      </c>
      <c r="CU397" s="125">
        <f t="shared" si="514"/>
        <v>132.24954861107022</v>
      </c>
      <c r="CV397" s="125">
        <f t="shared" si="516"/>
        <v>3.9979115925445545</v>
      </c>
      <c r="CW397" s="125">
        <f t="shared" si="517"/>
        <v>4.1790857361098199</v>
      </c>
      <c r="CX397" s="125">
        <f t="shared" si="515"/>
        <v>8.1769973286543749</v>
      </c>
      <c r="CY397" s="125">
        <f t="shared" si="518"/>
        <v>140.4265459397246</v>
      </c>
      <c r="CZ397" s="125">
        <f t="shared" si="520"/>
        <v>3.9979115925445545</v>
      </c>
      <c r="DA397" s="125">
        <f t="shared" si="521"/>
        <v>4.4374788516952979</v>
      </c>
      <c r="DB397" s="125">
        <f t="shared" si="519"/>
        <v>8.435390444239852</v>
      </c>
      <c r="DC397" s="125">
        <f t="shared" si="522"/>
        <v>148.86193638396446</v>
      </c>
      <c r="DD397" s="125">
        <f t="shared" si="524"/>
        <v>3.9979115925445545</v>
      </c>
      <c r="DE397" s="125">
        <f t="shared" si="525"/>
        <v>4.7040371897332776</v>
      </c>
      <c r="DF397" s="125">
        <f t="shared" si="523"/>
        <v>8.7019487822778316</v>
      </c>
      <c r="DG397" s="125">
        <f t="shared" si="526"/>
        <v>157.5638851662423</v>
      </c>
      <c r="DH397" s="125">
        <f t="shared" si="528"/>
        <v>3.9979115925445545</v>
      </c>
      <c r="DI397" s="125">
        <f t="shared" si="529"/>
        <v>4.9790187712532568</v>
      </c>
      <c r="DJ397" s="125">
        <f t="shared" si="527"/>
        <v>8.9769303637978108</v>
      </c>
      <c r="DK397" s="125">
        <f t="shared" si="530"/>
        <v>166.54081553004013</v>
      </c>
      <c r="DL397" s="125">
        <f t="shared" si="532"/>
        <v>3.9979115925445545</v>
      </c>
      <c r="DM397" s="125">
        <f t="shared" si="533"/>
        <v>5.2626897707492688</v>
      </c>
      <c r="DN397" s="125">
        <f t="shared" si="531"/>
        <v>9.2606013632938229</v>
      </c>
      <c r="DO397" s="125">
        <f t="shared" si="534"/>
        <v>175.80141689333396</v>
      </c>
      <c r="DP397" s="125">
        <f t="shared" si="536"/>
        <v>3.9979115925445545</v>
      </c>
      <c r="DQ397" s="125">
        <f t="shared" si="537"/>
        <v>5.5553247738293541</v>
      </c>
      <c r="DR397" s="125">
        <f t="shared" si="535"/>
        <v>9.553236366373909</v>
      </c>
      <c r="DS397" s="125">
        <f t="shared" si="538"/>
        <v>185.35465325970787</v>
      </c>
      <c r="DT397" s="125">
        <f t="shared" ref="DT397:DT402" si="540">$E$32*$D397</f>
        <v>3.9979115925445545</v>
      </c>
      <c r="DU397" s="125">
        <f t="shared" ref="DU397:DU402" si="541">$E$32*DS397</f>
        <v>5.8572070430067695</v>
      </c>
      <c r="DV397" s="125">
        <f t="shared" si="539"/>
        <v>9.8551186355513245</v>
      </c>
      <c r="DW397" s="125">
        <f t="shared" ref="DW397:DW402" si="542">DS397+DT397+DU397</f>
        <v>195.20977189525922</v>
      </c>
      <c r="DX397" s="125">
        <f>$E$32*$D397</f>
        <v>3.9979115925445545</v>
      </c>
      <c r="DY397" s="125">
        <f>$E$32*DW397</f>
        <v>6.1686287918901916</v>
      </c>
      <c r="DZ397" s="125">
        <f t="shared" ref="DZ397:DZ402" si="543">DX397+DY397</f>
        <v>10.166540384434747</v>
      </c>
      <c r="EA397" s="125"/>
      <c r="EB397" s="125"/>
      <c r="EC397" s="125"/>
      <c r="ED397" s="125"/>
      <c r="EE397" s="125"/>
      <c r="EF397" s="125"/>
      <c r="EG397" s="125"/>
      <c r="EH397" s="125"/>
      <c r="EI397" s="125"/>
      <c r="EJ397" s="125"/>
      <c r="EK397" s="125"/>
      <c r="EL397" s="125"/>
      <c r="EM397" s="125"/>
      <c r="EN397" s="125"/>
      <c r="EO397" s="125"/>
      <c r="EP397" s="125"/>
      <c r="EQ397" s="125"/>
      <c r="ER397" s="125"/>
      <c r="ES397" s="125"/>
      <c r="ET397" s="125"/>
      <c r="EU397" s="125">
        <f>'O duodécuplo'!$F$97*$D397*$B397</f>
        <v>123.93525936888119</v>
      </c>
      <c r="EV397" s="125">
        <f t="shared" si="420"/>
        <v>81.44105291081317</v>
      </c>
      <c r="EW397" s="125">
        <f t="shared" si="421"/>
        <v>205.37631227969436</v>
      </c>
    </row>
    <row r="398" spans="2:153" s="38" customFormat="1" ht="15.95" customHeight="1" x14ac:dyDescent="0.25">
      <c r="B398" s="98">
        <f t="shared" si="422"/>
        <v>32</v>
      </c>
      <c r="C398" s="125">
        <f t="shared" si="423"/>
        <v>331.89250191718025</v>
      </c>
      <c r="D398" s="125">
        <f t="shared" si="424"/>
        <v>122.64074218445705</v>
      </c>
      <c r="E398" s="125">
        <f t="shared" si="417"/>
        <v>209.2517597327232</v>
      </c>
      <c r="F398" s="140">
        <f t="shared" si="418"/>
        <v>1.706217330436564</v>
      </c>
      <c r="G398" s="125">
        <v>0</v>
      </c>
      <c r="H398" s="125">
        <f t="shared" si="425"/>
        <v>3.8754474530288432</v>
      </c>
      <c r="I398" s="125">
        <v>0</v>
      </c>
      <c r="J398" s="125">
        <f t="shared" si="419"/>
        <v>3.8754474530288432</v>
      </c>
      <c r="K398" s="125">
        <f t="shared" si="426"/>
        <v>3.8754474530288432</v>
      </c>
      <c r="L398" s="125">
        <f t="shared" si="428"/>
        <v>3.8754474530288432</v>
      </c>
      <c r="M398" s="125">
        <f t="shared" si="429"/>
        <v>0.12246413951571146</v>
      </c>
      <c r="N398" s="125">
        <f t="shared" si="427"/>
        <v>3.9979115925445545</v>
      </c>
      <c r="O398" s="125">
        <f t="shared" si="430"/>
        <v>7.8733590455733982</v>
      </c>
      <c r="P398" s="125">
        <f t="shared" si="432"/>
        <v>3.8754474530288432</v>
      </c>
      <c r="Q398" s="125">
        <f t="shared" si="433"/>
        <v>0.24879814584011942</v>
      </c>
      <c r="R398" s="125">
        <f t="shared" si="431"/>
        <v>4.1242455988689626</v>
      </c>
      <c r="S398" s="125">
        <f t="shared" si="434"/>
        <v>11.997604644442362</v>
      </c>
      <c r="T398" s="125">
        <f t="shared" si="436"/>
        <v>3.8754474530288432</v>
      </c>
      <c r="U398" s="125">
        <f t="shared" si="437"/>
        <v>0.37912430676437864</v>
      </c>
      <c r="V398" s="125">
        <f t="shared" si="435"/>
        <v>4.2545717597932216</v>
      </c>
      <c r="W398" s="125">
        <f t="shared" si="438"/>
        <v>16.252176404235584</v>
      </c>
      <c r="X398" s="125">
        <f t="shared" si="440"/>
        <v>3.8754474530288432</v>
      </c>
      <c r="Y398" s="125">
        <f t="shared" si="441"/>
        <v>0.51356877437384452</v>
      </c>
      <c r="Z398" s="125">
        <f t="shared" si="439"/>
        <v>4.3890162274026876</v>
      </c>
      <c r="AA398" s="125">
        <f t="shared" si="442"/>
        <v>20.641192631638273</v>
      </c>
      <c r="AB398" s="125">
        <f t="shared" si="444"/>
        <v>3.8754474530288432</v>
      </c>
      <c r="AC398" s="125">
        <f t="shared" si="445"/>
        <v>0.65226168715976951</v>
      </c>
      <c r="AD398" s="125">
        <f t="shared" si="443"/>
        <v>4.5277091401886125</v>
      </c>
      <c r="AE398" s="125">
        <f t="shared" si="446"/>
        <v>25.168901771826885</v>
      </c>
      <c r="AF398" s="125">
        <f t="shared" si="448"/>
        <v>3.8754474530288432</v>
      </c>
      <c r="AG398" s="125">
        <f t="shared" si="449"/>
        <v>0.79533729598972969</v>
      </c>
      <c r="AH398" s="125">
        <f t="shared" si="447"/>
        <v>4.6707847490185728</v>
      </c>
      <c r="AI398" s="125">
        <f t="shared" si="450"/>
        <v>29.839686520845458</v>
      </c>
      <c r="AJ398" s="125">
        <f t="shared" si="452"/>
        <v>3.8754474530288432</v>
      </c>
      <c r="AK398" s="125">
        <f t="shared" si="453"/>
        <v>0.94293409405871653</v>
      </c>
      <c r="AL398" s="125">
        <f t="shared" si="451"/>
        <v>4.8183815470875597</v>
      </c>
      <c r="AM398" s="125">
        <f t="shared" si="454"/>
        <v>34.658068067933016</v>
      </c>
      <c r="AN398" s="125">
        <f t="shared" si="456"/>
        <v>3.8754474530288432</v>
      </c>
      <c r="AO398" s="125">
        <f t="shared" si="457"/>
        <v>1.0951949509466834</v>
      </c>
      <c r="AP398" s="125">
        <f t="shared" si="455"/>
        <v>4.9706424039755266</v>
      </c>
      <c r="AQ398" s="125">
        <f t="shared" si="458"/>
        <v>39.628710471908541</v>
      </c>
      <c r="AR398" s="125">
        <f t="shared" si="460"/>
        <v>3.8754474530288432</v>
      </c>
      <c r="AS398" s="125">
        <f t="shared" si="461"/>
        <v>1.2522672509123101</v>
      </c>
      <c r="AT398" s="125">
        <f t="shared" si="459"/>
        <v>5.1277147039411535</v>
      </c>
      <c r="AU398" s="125">
        <f t="shared" si="462"/>
        <v>44.756425175849692</v>
      </c>
      <c r="AV398" s="125">
        <f t="shared" si="464"/>
        <v>3.8754474530288432</v>
      </c>
      <c r="AW398" s="125">
        <f t="shared" si="465"/>
        <v>1.4143030355568504</v>
      </c>
      <c r="AX398" s="125">
        <f t="shared" si="463"/>
        <v>5.2897504885856934</v>
      </c>
      <c r="AY398" s="125">
        <f t="shared" si="466"/>
        <v>50.046175664435381</v>
      </c>
      <c r="AZ398" s="125">
        <f t="shared" si="468"/>
        <v>3.8754474530288432</v>
      </c>
      <c r="BA398" s="125">
        <f t="shared" si="469"/>
        <v>1.5814591509961582</v>
      </c>
      <c r="BB398" s="125">
        <f t="shared" si="467"/>
        <v>5.4569066040250016</v>
      </c>
      <c r="BC398" s="125">
        <f t="shared" si="470"/>
        <v>55.503082268460382</v>
      </c>
      <c r="BD398" s="125">
        <f t="shared" si="472"/>
        <v>3.8754474530288432</v>
      </c>
      <c r="BE398" s="125">
        <f t="shared" si="473"/>
        <v>1.7538973996833482</v>
      </c>
      <c r="BF398" s="125">
        <f t="shared" si="471"/>
        <v>5.6293448527121912</v>
      </c>
      <c r="BG398" s="125">
        <f t="shared" si="474"/>
        <v>61.132427121172569</v>
      </c>
      <c r="BH398" s="125">
        <f t="shared" si="476"/>
        <v>3.8754474530288432</v>
      </c>
      <c r="BI398" s="125">
        <f t="shared" si="477"/>
        <v>1.9317846970290533</v>
      </c>
      <c r="BJ398" s="125">
        <f t="shared" si="475"/>
        <v>5.8072321500578967</v>
      </c>
      <c r="BK398" s="125">
        <f t="shared" si="478"/>
        <v>66.939659271230468</v>
      </c>
      <c r="BL398" s="125">
        <f t="shared" si="480"/>
        <v>3.8754474530288432</v>
      </c>
      <c r="BM398" s="125">
        <f t="shared" si="481"/>
        <v>2.1152932329708829</v>
      </c>
      <c r="BN398" s="125">
        <f t="shared" si="479"/>
        <v>5.9907406859997261</v>
      </c>
      <c r="BO398" s="125">
        <f t="shared" si="482"/>
        <v>72.930399957230193</v>
      </c>
      <c r="BP398" s="125">
        <f t="shared" si="484"/>
        <v>3.8754474530288432</v>
      </c>
      <c r="BQ398" s="125">
        <f t="shared" si="485"/>
        <v>2.3046006386484743</v>
      </c>
      <c r="BR398" s="125">
        <f t="shared" si="483"/>
        <v>6.1800480916773175</v>
      </c>
      <c r="BS398" s="125">
        <f t="shared" si="486"/>
        <v>79.110448048907514</v>
      </c>
      <c r="BT398" s="125">
        <f t="shared" si="488"/>
        <v>3.8754474530288432</v>
      </c>
      <c r="BU398" s="125">
        <f t="shared" si="489"/>
        <v>2.4998901583454778</v>
      </c>
      <c r="BV398" s="125">
        <f t="shared" si="487"/>
        <v>6.375337611374321</v>
      </c>
      <c r="BW398" s="125">
        <f t="shared" si="490"/>
        <v>85.485785660281834</v>
      </c>
      <c r="BX398" s="125">
        <f t="shared" si="492"/>
        <v>3.8754474530288432</v>
      </c>
      <c r="BY398" s="125">
        <f t="shared" si="493"/>
        <v>2.701350826864906</v>
      </c>
      <c r="BZ398" s="125">
        <f t="shared" si="491"/>
        <v>6.5767982798937492</v>
      </c>
      <c r="CA398" s="125">
        <f t="shared" si="494"/>
        <v>92.062583940175585</v>
      </c>
      <c r="CB398" s="125">
        <f t="shared" si="496"/>
        <v>3.8754474530288432</v>
      </c>
      <c r="CC398" s="125">
        <f t="shared" si="497"/>
        <v>2.9091776525095487</v>
      </c>
      <c r="CD398" s="125">
        <f t="shared" si="495"/>
        <v>6.7846251055383924</v>
      </c>
      <c r="CE398" s="125">
        <f t="shared" si="498"/>
        <v>98.847209045713981</v>
      </c>
      <c r="CF398" s="125">
        <f t="shared" si="500"/>
        <v>3.8754474530288432</v>
      </c>
      <c r="CG398" s="125">
        <f t="shared" si="501"/>
        <v>3.1235718058445623</v>
      </c>
      <c r="CH398" s="125">
        <f t="shared" si="499"/>
        <v>6.999019258873405</v>
      </c>
      <c r="CI398" s="125">
        <f t="shared" si="502"/>
        <v>105.84622830458738</v>
      </c>
      <c r="CJ398" s="125">
        <f t="shared" si="504"/>
        <v>3.8754474530288432</v>
      </c>
      <c r="CK398" s="125">
        <f t="shared" si="505"/>
        <v>3.3447408144249615</v>
      </c>
      <c r="CL398" s="125">
        <f t="shared" si="503"/>
        <v>7.2201882674538052</v>
      </c>
      <c r="CM398" s="125">
        <f t="shared" si="506"/>
        <v>113.06641657204119</v>
      </c>
      <c r="CN398" s="125">
        <f t="shared" si="508"/>
        <v>3.8754474530288432</v>
      </c>
      <c r="CO398" s="125">
        <f t="shared" si="509"/>
        <v>3.5728987636765019</v>
      </c>
      <c r="CP398" s="125">
        <f t="shared" si="507"/>
        <v>7.4483462167053451</v>
      </c>
      <c r="CQ398" s="125">
        <f t="shared" si="510"/>
        <v>120.51476278874654</v>
      </c>
      <c r="CR398" s="125">
        <f t="shared" si="512"/>
        <v>3.8754474530288432</v>
      </c>
      <c r="CS398" s="125">
        <f t="shared" si="513"/>
        <v>3.8082665041243908</v>
      </c>
      <c r="CT398" s="125">
        <f t="shared" si="511"/>
        <v>7.683713957153234</v>
      </c>
      <c r="CU398" s="125">
        <f t="shared" si="514"/>
        <v>128.19847674589977</v>
      </c>
      <c r="CV398" s="125">
        <f t="shared" si="516"/>
        <v>3.8754474530288432</v>
      </c>
      <c r="CW398" s="125">
        <f t="shared" si="517"/>
        <v>4.0510718651704334</v>
      </c>
      <c r="CX398" s="125">
        <f t="shared" si="515"/>
        <v>7.9265193181992766</v>
      </c>
      <c r="CY398" s="125">
        <f t="shared" si="518"/>
        <v>136.12499606409904</v>
      </c>
      <c r="CZ398" s="125">
        <f t="shared" si="520"/>
        <v>3.8754474530288432</v>
      </c>
      <c r="DA398" s="125">
        <f t="shared" si="521"/>
        <v>4.3015498756255299</v>
      </c>
      <c r="DB398" s="125">
        <f t="shared" si="519"/>
        <v>8.1769973286543731</v>
      </c>
      <c r="DC398" s="125">
        <f t="shared" si="522"/>
        <v>144.30199339275342</v>
      </c>
      <c r="DD398" s="125">
        <f t="shared" si="524"/>
        <v>3.8754474530288432</v>
      </c>
      <c r="DE398" s="125">
        <f t="shared" si="525"/>
        <v>4.5599429912110088</v>
      </c>
      <c r="DF398" s="125">
        <f t="shared" si="523"/>
        <v>8.435390444239852</v>
      </c>
      <c r="DG398" s="125">
        <f t="shared" si="526"/>
        <v>152.73738383699327</v>
      </c>
      <c r="DH398" s="125">
        <f t="shared" si="528"/>
        <v>3.8754474530288432</v>
      </c>
      <c r="DI398" s="125">
        <f t="shared" si="529"/>
        <v>4.8265013292489876</v>
      </c>
      <c r="DJ398" s="125">
        <f t="shared" si="527"/>
        <v>8.7019487822778316</v>
      </c>
      <c r="DK398" s="125">
        <f t="shared" si="530"/>
        <v>161.43933261927111</v>
      </c>
      <c r="DL398" s="125">
        <f t="shared" si="532"/>
        <v>3.8754474530288432</v>
      </c>
      <c r="DM398" s="125">
        <f t="shared" si="533"/>
        <v>5.1014829107689676</v>
      </c>
      <c r="DN398" s="125">
        <f t="shared" si="531"/>
        <v>8.9769303637978108</v>
      </c>
      <c r="DO398" s="125">
        <f t="shared" si="534"/>
        <v>170.41626298306892</v>
      </c>
      <c r="DP398" s="125">
        <f t="shared" si="536"/>
        <v>3.8754474530288432</v>
      </c>
      <c r="DQ398" s="125">
        <f t="shared" si="537"/>
        <v>5.3851539102649779</v>
      </c>
      <c r="DR398" s="125">
        <f t="shared" si="535"/>
        <v>9.2606013632938211</v>
      </c>
      <c r="DS398" s="125">
        <f t="shared" si="538"/>
        <v>179.67686434636275</v>
      </c>
      <c r="DT398" s="125">
        <f t="shared" si="540"/>
        <v>3.8754474530288432</v>
      </c>
      <c r="DU398" s="125">
        <f t="shared" si="541"/>
        <v>5.6777889133450632</v>
      </c>
      <c r="DV398" s="125">
        <f t="shared" si="539"/>
        <v>9.5532363663739055</v>
      </c>
      <c r="DW398" s="125">
        <f t="shared" si="542"/>
        <v>189.23010071273666</v>
      </c>
      <c r="DX398" s="125">
        <f t="shared" ref="DX398:DX402" si="544">$E$32*$D398</f>
        <v>3.8754474530288432</v>
      </c>
      <c r="DY398" s="125">
        <f t="shared" ref="DY398:DY402" si="545">$E$32*DW398</f>
        <v>5.9796711825224786</v>
      </c>
      <c r="DZ398" s="125">
        <f t="shared" si="543"/>
        <v>9.8551186355513209</v>
      </c>
      <c r="EA398" s="125">
        <f>DW398+DX398+DY398</f>
        <v>199.08521934828798</v>
      </c>
      <c r="EB398" s="125">
        <f>$E$32*$D398</f>
        <v>3.8754474530288432</v>
      </c>
      <c r="EC398" s="125">
        <f>$E$32*EA398</f>
        <v>6.2910929314059008</v>
      </c>
      <c r="ED398" s="125">
        <f>EB398+EC398</f>
        <v>10.166540384434743</v>
      </c>
      <c r="EE398" s="125"/>
      <c r="EF398" s="125"/>
      <c r="EG398" s="125"/>
      <c r="EH398" s="125"/>
      <c r="EI398" s="125"/>
      <c r="EJ398" s="125"/>
      <c r="EK398" s="125"/>
      <c r="EL398" s="125"/>
      <c r="EM398" s="125"/>
      <c r="EN398" s="125"/>
      <c r="EO398" s="125"/>
      <c r="EP398" s="125"/>
      <c r="EQ398" s="125"/>
      <c r="ER398" s="125"/>
      <c r="ES398" s="125"/>
      <c r="ET398" s="125"/>
      <c r="EU398" s="125">
        <f>'O duodécuplo'!$F$97*$D398*$B398</f>
        <v>124.01431849692298</v>
      </c>
      <c r="EV398" s="125">
        <f t="shared" si="420"/>
        <v>85.237441235800219</v>
      </c>
      <c r="EW398" s="125">
        <f t="shared" si="421"/>
        <v>209.2517597327232</v>
      </c>
    </row>
    <row r="399" spans="2:153" s="38" customFormat="1" ht="15.95" customHeight="1" x14ac:dyDescent="0.25">
      <c r="B399" s="98">
        <f t="shared" si="422"/>
        <v>33</v>
      </c>
      <c r="C399" s="125">
        <f t="shared" si="423"/>
        <v>331.89250191718025</v>
      </c>
      <c r="D399" s="125">
        <f t="shared" si="424"/>
        <v>118.88400754600333</v>
      </c>
      <c r="E399" s="125">
        <f t="shared" si="417"/>
        <v>213.00849437117694</v>
      </c>
      <c r="F399" s="140">
        <f t="shared" si="418"/>
        <v>1.7917337980783599</v>
      </c>
      <c r="G399" s="125">
        <v>0</v>
      </c>
      <c r="H399" s="125">
        <f t="shared" si="425"/>
        <v>3.7567346384537057</v>
      </c>
      <c r="I399" s="125">
        <v>0</v>
      </c>
      <c r="J399" s="125">
        <f t="shared" si="419"/>
        <v>3.7567346384537057</v>
      </c>
      <c r="K399" s="125">
        <f t="shared" si="426"/>
        <v>3.7567346384537057</v>
      </c>
      <c r="L399" s="125">
        <f t="shared" si="428"/>
        <v>3.7567346384537057</v>
      </c>
      <c r="M399" s="125">
        <f t="shared" si="429"/>
        <v>0.11871281457513712</v>
      </c>
      <c r="N399" s="125">
        <f t="shared" si="427"/>
        <v>3.8754474530288427</v>
      </c>
      <c r="O399" s="125">
        <f t="shared" si="430"/>
        <v>7.6321820914825489</v>
      </c>
      <c r="P399" s="125">
        <f t="shared" si="432"/>
        <v>3.7567346384537057</v>
      </c>
      <c r="Q399" s="125">
        <f t="shared" si="433"/>
        <v>0.24117695409084858</v>
      </c>
      <c r="R399" s="125">
        <f t="shared" si="431"/>
        <v>3.9979115925445541</v>
      </c>
      <c r="S399" s="125">
        <f t="shared" si="434"/>
        <v>11.630093684027104</v>
      </c>
      <c r="T399" s="125">
        <f t="shared" si="436"/>
        <v>3.7567346384537057</v>
      </c>
      <c r="U399" s="125">
        <f t="shared" si="437"/>
        <v>0.36751096041525649</v>
      </c>
      <c r="V399" s="125">
        <f t="shared" si="435"/>
        <v>4.1242455988689626</v>
      </c>
      <c r="W399" s="125">
        <f t="shared" si="438"/>
        <v>15.754339282896066</v>
      </c>
      <c r="X399" s="125">
        <f t="shared" si="440"/>
        <v>3.7567346384537057</v>
      </c>
      <c r="Y399" s="125">
        <f t="shared" si="441"/>
        <v>0.49783712133951574</v>
      </c>
      <c r="Z399" s="125">
        <f t="shared" si="439"/>
        <v>4.2545717597932216</v>
      </c>
      <c r="AA399" s="125">
        <f t="shared" si="442"/>
        <v>20.008911042689284</v>
      </c>
      <c r="AB399" s="125">
        <f t="shared" si="444"/>
        <v>3.7567346384537057</v>
      </c>
      <c r="AC399" s="125">
        <f t="shared" si="445"/>
        <v>0.63228158894898145</v>
      </c>
      <c r="AD399" s="125">
        <f t="shared" si="443"/>
        <v>4.3890162274026867</v>
      </c>
      <c r="AE399" s="125">
        <f t="shared" si="446"/>
        <v>24.397927270091973</v>
      </c>
      <c r="AF399" s="125">
        <f t="shared" si="448"/>
        <v>3.7567346384537057</v>
      </c>
      <c r="AG399" s="125">
        <f t="shared" si="449"/>
        <v>0.77097450173490645</v>
      </c>
      <c r="AH399" s="125">
        <f t="shared" si="447"/>
        <v>4.5277091401886125</v>
      </c>
      <c r="AI399" s="125">
        <f t="shared" si="450"/>
        <v>28.925636410280582</v>
      </c>
      <c r="AJ399" s="125">
        <f t="shared" si="452"/>
        <v>3.7567346384537057</v>
      </c>
      <c r="AK399" s="125">
        <f t="shared" si="453"/>
        <v>0.91405011056486651</v>
      </c>
      <c r="AL399" s="125">
        <f t="shared" si="451"/>
        <v>4.6707847490185719</v>
      </c>
      <c r="AM399" s="125">
        <f t="shared" si="454"/>
        <v>33.596421159299155</v>
      </c>
      <c r="AN399" s="125">
        <f t="shared" si="456"/>
        <v>3.7567346384537057</v>
      </c>
      <c r="AO399" s="125">
        <f t="shared" si="457"/>
        <v>1.0616469086338534</v>
      </c>
      <c r="AP399" s="125">
        <f t="shared" si="455"/>
        <v>4.8183815470875588</v>
      </c>
      <c r="AQ399" s="125">
        <f t="shared" si="458"/>
        <v>38.414802706386716</v>
      </c>
      <c r="AR399" s="125">
        <f t="shared" si="460"/>
        <v>3.7567346384537057</v>
      </c>
      <c r="AS399" s="125">
        <f t="shared" si="461"/>
        <v>1.2139077655218204</v>
      </c>
      <c r="AT399" s="125">
        <f t="shared" si="459"/>
        <v>4.9706424039755266</v>
      </c>
      <c r="AU399" s="125">
        <f t="shared" si="462"/>
        <v>43.385445110362241</v>
      </c>
      <c r="AV399" s="125">
        <f t="shared" si="464"/>
        <v>3.7567346384537057</v>
      </c>
      <c r="AW399" s="125">
        <f t="shared" si="465"/>
        <v>1.3709800654874469</v>
      </c>
      <c r="AX399" s="125">
        <f t="shared" si="463"/>
        <v>5.1277147039411526</v>
      </c>
      <c r="AY399" s="125">
        <f t="shared" si="466"/>
        <v>48.513159814303393</v>
      </c>
      <c r="AZ399" s="125">
        <f t="shared" si="468"/>
        <v>3.7567346384537057</v>
      </c>
      <c r="BA399" s="125">
        <f t="shared" si="469"/>
        <v>1.5330158501319873</v>
      </c>
      <c r="BB399" s="125">
        <f t="shared" si="467"/>
        <v>5.2897504885856925</v>
      </c>
      <c r="BC399" s="125">
        <f t="shared" si="470"/>
        <v>53.802910302889089</v>
      </c>
      <c r="BD399" s="125">
        <f t="shared" si="472"/>
        <v>3.7567346384537057</v>
      </c>
      <c r="BE399" s="125">
        <f t="shared" si="473"/>
        <v>1.7001719655712955</v>
      </c>
      <c r="BF399" s="125">
        <f t="shared" si="471"/>
        <v>5.4569066040250007</v>
      </c>
      <c r="BG399" s="125">
        <f t="shared" si="474"/>
        <v>59.259816906914089</v>
      </c>
      <c r="BH399" s="125">
        <f t="shared" si="476"/>
        <v>3.7567346384537057</v>
      </c>
      <c r="BI399" s="125">
        <f t="shared" si="477"/>
        <v>1.8726102142584855</v>
      </c>
      <c r="BJ399" s="125">
        <f t="shared" si="475"/>
        <v>5.6293448527121912</v>
      </c>
      <c r="BK399" s="125">
        <f t="shared" si="478"/>
        <v>64.889161759626276</v>
      </c>
      <c r="BL399" s="125">
        <f t="shared" si="480"/>
        <v>3.7567346384537057</v>
      </c>
      <c r="BM399" s="125">
        <f t="shared" si="481"/>
        <v>2.0504975116041906</v>
      </c>
      <c r="BN399" s="125">
        <f t="shared" si="479"/>
        <v>5.8072321500578958</v>
      </c>
      <c r="BO399" s="125">
        <f t="shared" si="482"/>
        <v>70.696393909684176</v>
      </c>
      <c r="BP399" s="125">
        <f t="shared" si="484"/>
        <v>3.7567346384537057</v>
      </c>
      <c r="BQ399" s="125">
        <f t="shared" si="485"/>
        <v>2.2340060475460199</v>
      </c>
      <c r="BR399" s="125">
        <f t="shared" si="483"/>
        <v>5.9907406859997252</v>
      </c>
      <c r="BS399" s="125">
        <f t="shared" si="486"/>
        <v>76.687134595683901</v>
      </c>
      <c r="BT399" s="125">
        <f t="shared" si="488"/>
        <v>3.7567346384537057</v>
      </c>
      <c r="BU399" s="125">
        <f t="shared" si="489"/>
        <v>2.4233134532236114</v>
      </c>
      <c r="BV399" s="125">
        <f t="shared" si="487"/>
        <v>6.1800480916773175</v>
      </c>
      <c r="BW399" s="125">
        <f t="shared" si="490"/>
        <v>82.867182687361222</v>
      </c>
      <c r="BX399" s="125">
        <f t="shared" si="492"/>
        <v>3.7567346384537057</v>
      </c>
      <c r="BY399" s="125">
        <f t="shared" si="493"/>
        <v>2.6186029729206148</v>
      </c>
      <c r="BZ399" s="125">
        <f t="shared" si="491"/>
        <v>6.3753376113743201</v>
      </c>
      <c r="CA399" s="125">
        <f t="shared" si="494"/>
        <v>89.242520298735542</v>
      </c>
      <c r="CB399" s="125">
        <f t="shared" si="496"/>
        <v>3.7567346384537057</v>
      </c>
      <c r="CC399" s="125">
        <f t="shared" si="497"/>
        <v>2.8200636414400435</v>
      </c>
      <c r="CD399" s="125">
        <f t="shared" si="495"/>
        <v>6.5767982798937492</v>
      </c>
      <c r="CE399" s="125">
        <f t="shared" si="498"/>
        <v>95.819318578629293</v>
      </c>
      <c r="CF399" s="125">
        <f t="shared" si="500"/>
        <v>3.7567346384537057</v>
      </c>
      <c r="CG399" s="125">
        <f t="shared" si="501"/>
        <v>3.0278904670846858</v>
      </c>
      <c r="CH399" s="125">
        <f t="shared" si="499"/>
        <v>6.7846251055383915</v>
      </c>
      <c r="CI399" s="125">
        <f t="shared" si="502"/>
        <v>102.60394368416769</v>
      </c>
      <c r="CJ399" s="125">
        <f t="shared" si="504"/>
        <v>3.7567346384537057</v>
      </c>
      <c r="CK399" s="125">
        <f t="shared" si="505"/>
        <v>3.2422846204196993</v>
      </c>
      <c r="CL399" s="125">
        <f t="shared" si="503"/>
        <v>6.999019258873405</v>
      </c>
      <c r="CM399" s="125">
        <f t="shared" si="506"/>
        <v>109.60296294304109</v>
      </c>
      <c r="CN399" s="125">
        <f t="shared" si="508"/>
        <v>3.7567346384537057</v>
      </c>
      <c r="CO399" s="125">
        <f t="shared" si="509"/>
        <v>3.463453629000099</v>
      </c>
      <c r="CP399" s="125">
        <f t="shared" si="507"/>
        <v>7.2201882674538052</v>
      </c>
      <c r="CQ399" s="125">
        <f t="shared" si="510"/>
        <v>116.8231512104949</v>
      </c>
      <c r="CR399" s="125">
        <f t="shared" si="512"/>
        <v>3.7567346384537057</v>
      </c>
      <c r="CS399" s="125">
        <f t="shared" si="513"/>
        <v>3.691611578251639</v>
      </c>
      <c r="CT399" s="125">
        <f t="shared" si="511"/>
        <v>7.4483462167053442</v>
      </c>
      <c r="CU399" s="125">
        <f t="shared" si="514"/>
        <v>124.27149742720025</v>
      </c>
      <c r="CV399" s="125">
        <f t="shared" si="516"/>
        <v>3.7567346384537057</v>
      </c>
      <c r="CW399" s="125">
        <f t="shared" si="517"/>
        <v>3.9269793186995283</v>
      </c>
      <c r="CX399" s="125">
        <f t="shared" si="515"/>
        <v>7.683713957153234</v>
      </c>
      <c r="CY399" s="125">
        <f t="shared" si="518"/>
        <v>131.95521138435348</v>
      </c>
      <c r="CZ399" s="125">
        <f t="shared" si="520"/>
        <v>3.7567346384537057</v>
      </c>
      <c r="DA399" s="125">
        <f t="shared" si="521"/>
        <v>4.16978467974557</v>
      </c>
      <c r="DB399" s="125">
        <f t="shared" si="519"/>
        <v>7.9265193181992757</v>
      </c>
      <c r="DC399" s="125">
        <f t="shared" si="522"/>
        <v>139.88173070255274</v>
      </c>
      <c r="DD399" s="125">
        <f t="shared" si="524"/>
        <v>3.7567346384537057</v>
      </c>
      <c r="DE399" s="125">
        <f t="shared" si="525"/>
        <v>4.4202626902006674</v>
      </c>
      <c r="DF399" s="125">
        <f t="shared" si="523"/>
        <v>8.1769973286543731</v>
      </c>
      <c r="DG399" s="125">
        <f t="shared" si="526"/>
        <v>148.05872803120712</v>
      </c>
      <c r="DH399" s="125">
        <f t="shared" si="528"/>
        <v>3.7567346384537057</v>
      </c>
      <c r="DI399" s="125">
        <f t="shared" si="529"/>
        <v>4.6786558057861454</v>
      </c>
      <c r="DJ399" s="125">
        <f t="shared" si="527"/>
        <v>8.4353904442398502</v>
      </c>
      <c r="DK399" s="125">
        <f t="shared" si="530"/>
        <v>156.49411847544698</v>
      </c>
      <c r="DL399" s="125">
        <f t="shared" si="532"/>
        <v>3.7567346384537057</v>
      </c>
      <c r="DM399" s="125">
        <f t="shared" si="533"/>
        <v>4.9452141438241251</v>
      </c>
      <c r="DN399" s="125">
        <f t="shared" si="531"/>
        <v>8.7019487822778316</v>
      </c>
      <c r="DO399" s="125">
        <f t="shared" si="534"/>
        <v>165.19606725772482</v>
      </c>
      <c r="DP399" s="125">
        <f t="shared" si="536"/>
        <v>3.7567346384537057</v>
      </c>
      <c r="DQ399" s="125">
        <f t="shared" si="537"/>
        <v>5.2201957253441051</v>
      </c>
      <c r="DR399" s="125">
        <f t="shared" si="535"/>
        <v>8.9769303637978108</v>
      </c>
      <c r="DS399" s="125">
        <f t="shared" si="538"/>
        <v>174.17299762152263</v>
      </c>
      <c r="DT399" s="125">
        <f t="shared" si="540"/>
        <v>3.7567346384537057</v>
      </c>
      <c r="DU399" s="125">
        <f t="shared" si="541"/>
        <v>5.5038667248401154</v>
      </c>
      <c r="DV399" s="125">
        <f t="shared" si="539"/>
        <v>9.2606013632938211</v>
      </c>
      <c r="DW399" s="125">
        <f t="shared" si="542"/>
        <v>183.43359898481646</v>
      </c>
      <c r="DX399" s="125">
        <f t="shared" si="544"/>
        <v>3.7567346384537057</v>
      </c>
      <c r="DY399" s="125">
        <f t="shared" si="545"/>
        <v>5.7965017279202007</v>
      </c>
      <c r="DZ399" s="125">
        <f t="shared" si="543"/>
        <v>9.5532363663739055</v>
      </c>
      <c r="EA399" s="125">
        <f>DW399+DX399+DY399</f>
        <v>192.98683535119036</v>
      </c>
      <c r="EB399" s="125">
        <f t="shared" ref="EB399:EB401" si="546">$E$32*$D399</f>
        <v>3.7567346384537057</v>
      </c>
      <c r="EC399" s="125">
        <f t="shared" ref="EC399:EC402" si="547">$E$32*EA399</f>
        <v>6.0983839970976161</v>
      </c>
      <c r="ED399" s="125">
        <f>EB399+EC399</f>
        <v>9.8551186355513209</v>
      </c>
      <c r="EE399" s="125">
        <f>EA399+EB399+EC399</f>
        <v>202.84195398674169</v>
      </c>
      <c r="EF399" s="125">
        <f>$E$32*$D399</f>
        <v>3.7567346384537057</v>
      </c>
      <c r="EG399" s="125">
        <f>$E$32*EE399</f>
        <v>6.4098057459810382</v>
      </c>
      <c r="EH399" s="125">
        <f>EF399+EG399</f>
        <v>10.166540384434743</v>
      </c>
      <c r="EI399" s="125"/>
      <c r="EJ399" s="125"/>
      <c r="EK399" s="125"/>
      <c r="EL399" s="125"/>
      <c r="EM399" s="125"/>
      <c r="EN399" s="125"/>
      <c r="EO399" s="125"/>
      <c r="EP399" s="125"/>
      <c r="EQ399" s="125"/>
      <c r="ER399" s="125"/>
      <c r="ES399" s="125"/>
      <c r="ET399" s="125"/>
      <c r="EU399" s="125">
        <f>'O duodécuplo'!$F$97*$D399*$B399</f>
        <v>123.97224306897229</v>
      </c>
      <c r="EV399" s="125">
        <f t="shared" si="420"/>
        <v>89.036251302204647</v>
      </c>
      <c r="EW399" s="125">
        <f t="shared" si="421"/>
        <v>213.00849437117694</v>
      </c>
    </row>
    <row r="400" spans="2:153" s="38" customFormat="1" ht="15.95" customHeight="1" x14ac:dyDescent="0.25">
      <c r="B400" s="98">
        <f t="shared" si="422"/>
        <v>34</v>
      </c>
      <c r="C400" s="125">
        <f t="shared" si="423"/>
        <v>331.89250191718025</v>
      </c>
      <c r="D400" s="125">
        <f t="shared" si="424"/>
        <v>115.24234930787449</v>
      </c>
      <c r="E400" s="125">
        <f t="shared" si="417"/>
        <v>216.65015260930576</v>
      </c>
      <c r="F400" s="140">
        <f t="shared" si="418"/>
        <v>1.879952586097636</v>
      </c>
      <c r="G400" s="125">
        <v>0</v>
      </c>
      <c r="H400" s="125">
        <f t="shared" si="425"/>
        <v>3.6416582381288345</v>
      </c>
      <c r="I400" s="125">
        <v>0</v>
      </c>
      <c r="J400" s="125">
        <f t="shared" si="419"/>
        <v>3.6416582381288345</v>
      </c>
      <c r="K400" s="125">
        <f t="shared" si="426"/>
        <v>3.6416582381288345</v>
      </c>
      <c r="L400" s="125">
        <f t="shared" si="428"/>
        <v>3.6416582381288345</v>
      </c>
      <c r="M400" s="125">
        <f t="shared" si="429"/>
        <v>0.11507640032487118</v>
      </c>
      <c r="N400" s="125">
        <f t="shared" si="427"/>
        <v>3.7567346384537057</v>
      </c>
      <c r="O400" s="125">
        <f t="shared" si="430"/>
        <v>7.3983928765825402</v>
      </c>
      <c r="P400" s="125">
        <f t="shared" si="432"/>
        <v>3.6416582381288345</v>
      </c>
      <c r="Q400" s="125">
        <f t="shared" si="433"/>
        <v>0.23378921490000829</v>
      </c>
      <c r="R400" s="125">
        <f t="shared" si="431"/>
        <v>3.8754474530288427</v>
      </c>
      <c r="S400" s="125">
        <f t="shared" si="434"/>
        <v>11.273840329611383</v>
      </c>
      <c r="T400" s="125">
        <f t="shared" si="436"/>
        <v>3.6416582381288345</v>
      </c>
      <c r="U400" s="125">
        <f t="shared" si="437"/>
        <v>0.35625335441571976</v>
      </c>
      <c r="V400" s="125">
        <f t="shared" si="435"/>
        <v>3.9979115925445541</v>
      </c>
      <c r="W400" s="125">
        <f t="shared" si="438"/>
        <v>15.271751922155939</v>
      </c>
      <c r="X400" s="125">
        <f t="shared" si="440"/>
        <v>3.6416582381288345</v>
      </c>
      <c r="Y400" s="125">
        <f t="shared" si="441"/>
        <v>0.4825873607401277</v>
      </c>
      <c r="Z400" s="125">
        <f t="shared" si="439"/>
        <v>4.1242455988689626</v>
      </c>
      <c r="AA400" s="125">
        <f t="shared" si="442"/>
        <v>19.395997521024899</v>
      </c>
      <c r="AB400" s="125">
        <f t="shared" si="444"/>
        <v>3.6416582381288345</v>
      </c>
      <c r="AC400" s="125">
        <f t="shared" si="445"/>
        <v>0.61291352166438684</v>
      </c>
      <c r="AD400" s="125">
        <f t="shared" si="443"/>
        <v>4.2545717597932216</v>
      </c>
      <c r="AE400" s="125">
        <f t="shared" si="446"/>
        <v>23.650569280818118</v>
      </c>
      <c r="AF400" s="125">
        <f t="shared" si="448"/>
        <v>3.6416582381288345</v>
      </c>
      <c r="AG400" s="125">
        <f t="shared" si="449"/>
        <v>0.74735798927385255</v>
      </c>
      <c r="AH400" s="125">
        <f t="shared" si="447"/>
        <v>4.3890162274026867</v>
      </c>
      <c r="AI400" s="125">
        <f t="shared" si="450"/>
        <v>28.039585508220803</v>
      </c>
      <c r="AJ400" s="125">
        <f t="shared" si="452"/>
        <v>3.6416582381288345</v>
      </c>
      <c r="AK400" s="125">
        <f t="shared" si="453"/>
        <v>0.88605090205977743</v>
      </c>
      <c r="AL400" s="125">
        <f t="shared" si="451"/>
        <v>4.5277091401886116</v>
      </c>
      <c r="AM400" s="125">
        <f t="shared" si="454"/>
        <v>32.567294648409415</v>
      </c>
      <c r="AN400" s="125">
        <f t="shared" si="456"/>
        <v>3.6416582381288345</v>
      </c>
      <c r="AO400" s="125">
        <f t="shared" si="457"/>
        <v>1.0291265108897376</v>
      </c>
      <c r="AP400" s="125">
        <f t="shared" si="455"/>
        <v>4.6707847490185719</v>
      </c>
      <c r="AQ400" s="125">
        <f t="shared" si="458"/>
        <v>37.238079397427988</v>
      </c>
      <c r="AR400" s="125">
        <f t="shared" si="460"/>
        <v>3.6416582381288345</v>
      </c>
      <c r="AS400" s="125">
        <f t="shared" si="461"/>
        <v>1.1767233089587246</v>
      </c>
      <c r="AT400" s="125">
        <f t="shared" si="459"/>
        <v>4.8183815470875588</v>
      </c>
      <c r="AU400" s="125">
        <f t="shared" si="462"/>
        <v>42.05646094451555</v>
      </c>
      <c r="AV400" s="125">
        <f t="shared" si="464"/>
        <v>3.6416582381288345</v>
      </c>
      <c r="AW400" s="125">
        <f t="shared" si="465"/>
        <v>1.3289841658466914</v>
      </c>
      <c r="AX400" s="125">
        <f t="shared" si="463"/>
        <v>4.9706424039755257</v>
      </c>
      <c r="AY400" s="125">
        <f t="shared" si="466"/>
        <v>47.027103348491075</v>
      </c>
      <c r="AZ400" s="125">
        <f t="shared" si="468"/>
        <v>3.6416582381288345</v>
      </c>
      <c r="BA400" s="125">
        <f t="shared" si="469"/>
        <v>1.4860564658123181</v>
      </c>
      <c r="BB400" s="125">
        <f t="shared" si="467"/>
        <v>5.1277147039411526</v>
      </c>
      <c r="BC400" s="125">
        <f t="shared" si="470"/>
        <v>52.154818052432226</v>
      </c>
      <c r="BD400" s="125">
        <f t="shared" si="472"/>
        <v>3.6416582381288345</v>
      </c>
      <c r="BE400" s="125">
        <f t="shared" si="473"/>
        <v>1.6480922504568585</v>
      </c>
      <c r="BF400" s="125">
        <f t="shared" si="471"/>
        <v>5.2897504885856925</v>
      </c>
      <c r="BG400" s="125">
        <f t="shared" si="474"/>
        <v>57.444568541017915</v>
      </c>
      <c r="BH400" s="125">
        <f t="shared" si="476"/>
        <v>3.6416582381288345</v>
      </c>
      <c r="BI400" s="125">
        <f t="shared" si="477"/>
        <v>1.8152483658961662</v>
      </c>
      <c r="BJ400" s="125">
        <f t="shared" si="475"/>
        <v>5.4569066040250007</v>
      </c>
      <c r="BK400" s="125">
        <f t="shared" si="478"/>
        <v>62.901475145042916</v>
      </c>
      <c r="BL400" s="125">
        <f t="shared" si="480"/>
        <v>3.6416582381288345</v>
      </c>
      <c r="BM400" s="125">
        <f t="shared" si="481"/>
        <v>1.9876866145833563</v>
      </c>
      <c r="BN400" s="125">
        <f t="shared" si="479"/>
        <v>5.6293448527121903</v>
      </c>
      <c r="BO400" s="125">
        <f t="shared" si="482"/>
        <v>68.530819997755103</v>
      </c>
      <c r="BP400" s="125">
        <f t="shared" si="484"/>
        <v>3.6416582381288345</v>
      </c>
      <c r="BQ400" s="125">
        <f t="shared" si="485"/>
        <v>2.1655739119290613</v>
      </c>
      <c r="BR400" s="125">
        <f t="shared" si="483"/>
        <v>5.8072321500578958</v>
      </c>
      <c r="BS400" s="125">
        <f t="shared" si="486"/>
        <v>74.338052147813002</v>
      </c>
      <c r="BT400" s="125">
        <f t="shared" si="488"/>
        <v>3.6416582381288345</v>
      </c>
      <c r="BU400" s="125">
        <f t="shared" si="489"/>
        <v>2.3490824478708912</v>
      </c>
      <c r="BV400" s="125">
        <f t="shared" si="487"/>
        <v>5.9907406859997252</v>
      </c>
      <c r="BW400" s="125">
        <f t="shared" si="490"/>
        <v>80.328792833812727</v>
      </c>
      <c r="BX400" s="125">
        <f t="shared" si="492"/>
        <v>3.6416582381288345</v>
      </c>
      <c r="BY400" s="125">
        <f t="shared" si="493"/>
        <v>2.5383898535484826</v>
      </c>
      <c r="BZ400" s="125">
        <f t="shared" si="491"/>
        <v>6.1800480916773175</v>
      </c>
      <c r="CA400" s="125">
        <f t="shared" si="494"/>
        <v>86.508840925490048</v>
      </c>
      <c r="CB400" s="125">
        <f t="shared" si="496"/>
        <v>3.6416582381288345</v>
      </c>
      <c r="CC400" s="125">
        <f t="shared" si="497"/>
        <v>2.7336793732454856</v>
      </c>
      <c r="CD400" s="125">
        <f t="shared" si="495"/>
        <v>6.3753376113743201</v>
      </c>
      <c r="CE400" s="125">
        <f t="shared" si="498"/>
        <v>92.884178536864368</v>
      </c>
      <c r="CF400" s="125">
        <f t="shared" si="500"/>
        <v>3.6416582381288345</v>
      </c>
      <c r="CG400" s="125">
        <f t="shared" si="501"/>
        <v>2.9351400417649143</v>
      </c>
      <c r="CH400" s="125">
        <f t="shared" si="499"/>
        <v>6.5767982798937492</v>
      </c>
      <c r="CI400" s="125">
        <f t="shared" si="502"/>
        <v>99.460976816758119</v>
      </c>
      <c r="CJ400" s="125">
        <f t="shared" si="504"/>
        <v>3.6416582381288345</v>
      </c>
      <c r="CK400" s="125">
        <f t="shared" si="505"/>
        <v>3.142966867409557</v>
      </c>
      <c r="CL400" s="125">
        <f t="shared" si="503"/>
        <v>6.7846251055383915</v>
      </c>
      <c r="CM400" s="125">
        <f t="shared" si="506"/>
        <v>106.24560192229652</v>
      </c>
      <c r="CN400" s="125">
        <f t="shared" si="508"/>
        <v>3.6416582381288345</v>
      </c>
      <c r="CO400" s="125">
        <f t="shared" si="509"/>
        <v>3.3573610207445701</v>
      </c>
      <c r="CP400" s="125">
        <f t="shared" si="507"/>
        <v>6.999019258873405</v>
      </c>
      <c r="CQ400" s="125">
        <f t="shared" si="510"/>
        <v>113.24462118116993</v>
      </c>
      <c r="CR400" s="125">
        <f t="shared" si="512"/>
        <v>3.6416582381288345</v>
      </c>
      <c r="CS400" s="125">
        <f t="shared" si="513"/>
        <v>3.5785300293249702</v>
      </c>
      <c r="CT400" s="125">
        <f t="shared" si="511"/>
        <v>7.2201882674538052</v>
      </c>
      <c r="CU400" s="125">
        <f t="shared" si="514"/>
        <v>120.46480944862374</v>
      </c>
      <c r="CV400" s="125">
        <f t="shared" si="516"/>
        <v>3.6416582381288345</v>
      </c>
      <c r="CW400" s="125">
        <f t="shared" si="517"/>
        <v>3.8066879785765106</v>
      </c>
      <c r="CX400" s="125">
        <f t="shared" si="515"/>
        <v>7.4483462167053451</v>
      </c>
      <c r="CY400" s="125">
        <f t="shared" si="518"/>
        <v>127.91315566532909</v>
      </c>
      <c r="CZ400" s="125">
        <f t="shared" si="520"/>
        <v>3.6416582381288345</v>
      </c>
      <c r="DA400" s="125">
        <f t="shared" si="521"/>
        <v>4.0420557190243995</v>
      </c>
      <c r="DB400" s="125">
        <f t="shared" si="519"/>
        <v>7.683713957153234</v>
      </c>
      <c r="DC400" s="125">
        <f t="shared" si="522"/>
        <v>135.59686962248233</v>
      </c>
      <c r="DD400" s="125">
        <f t="shared" si="524"/>
        <v>3.6416582381288345</v>
      </c>
      <c r="DE400" s="125">
        <f t="shared" si="525"/>
        <v>4.2848610800704421</v>
      </c>
      <c r="DF400" s="125">
        <f t="shared" si="523"/>
        <v>7.9265193181992766</v>
      </c>
      <c r="DG400" s="125">
        <f t="shared" si="526"/>
        <v>143.5233889406816</v>
      </c>
      <c r="DH400" s="125">
        <f t="shared" si="528"/>
        <v>3.6416582381288345</v>
      </c>
      <c r="DI400" s="125">
        <f t="shared" si="529"/>
        <v>4.5353390905255386</v>
      </c>
      <c r="DJ400" s="125">
        <f t="shared" si="527"/>
        <v>8.1769973286543731</v>
      </c>
      <c r="DK400" s="125">
        <f t="shared" si="530"/>
        <v>151.70038626933595</v>
      </c>
      <c r="DL400" s="125">
        <f t="shared" si="532"/>
        <v>3.6416582381288345</v>
      </c>
      <c r="DM400" s="125">
        <f t="shared" si="533"/>
        <v>4.7937322061110166</v>
      </c>
      <c r="DN400" s="125">
        <f t="shared" si="531"/>
        <v>8.4353904442398502</v>
      </c>
      <c r="DO400" s="125">
        <f t="shared" si="534"/>
        <v>160.13577671357581</v>
      </c>
      <c r="DP400" s="125">
        <f t="shared" si="536"/>
        <v>3.6416582381288345</v>
      </c>
      <c r="DQ400" s="125">
        <f t="shared" si="537"/>
        <v>5.0602905441489963</v>
      </c>
      <c r="DR400" s="125">
        <f t="shared" si="535"/>
        <v>8.7019487822778316</v>
      </c>
      <c r="DS400" s="125">
        <f t="shared" si="538"/>
        <v>168.83772549585362</v>
      </c>
      <c r="DT400" s="125">
        <f t="shared" si="540"/>
        <v>3.6416582381288345</v>
      </c>
      <c r="DU400" s="125">
        <f t="shared" si="541"/>
        <v>5.3352721256689746</v>
      </c>
      <c r="DV400" s="125">
        <f t="shared" si="539"/>
        <v>8.9769303637978091</v>
      </c>
      <c r="DW400" s="125">
        <f t="shared" si="542"/>
        <v>177.81465585965142</v>
      </c>
      <c r="DX400" s="125">
        <f t="shared" si="544"/>
        <v>3.6416582381288345</v>
      </c>
      <c r="DY400" s="125">
        <f t="shared" si="545"/>
        <v>5.6189431251649857</v>
      </c>
      <c r="DZ400" s="125">
        <f t="shared" si="543"/>
        <v>9.2606013632938193</v>
      </c>
      <c r="EA400" s="125">
        <f>DW400+DX400+DY400</f>
        <v>187.07525722294523</v>
      </c>
      <c r="EB400" s="125">
        <f t="shared" si="546"/>
        <v>3.6416582381288345</v>
      </c>
      <c r="EC400" s="125">
        <f t="shared" si="547"/>
        <v>5.9115781282450701</v>
      </c>
      <c r="ED400" s="125">
        <f>EB400+EC400</f>
        <v>9.5532363663739055</v>
      </c>
      <c r="EE400" s="125">
        <f>EA400+EB400+EC400</f>
        <v>196.62849358931913</v>
      </c>
      <c r="EF400" s="125">
        <f>$E$32*D400</f>
        <v>3.6416582381288345</v>
      </c>
      <c r="EG400" s="125">
        <f t="shared" ref="EG400:EG402" si="548">$E$32*EE400</f>
        <v>6.2134603974224856</v>
      </c>
      <c r="EH400" s="125">
        <f>EF400+EG400</f>
        <v>9.8551186355513209</v>
      </c>
      <c r="EI400" s="125">
        <f>EE400+EF400+EG400</f>
        <v>206.48361222487046</v>
      </c>
      <c r="EJ400" s="125">
        <f>$E$32*$D400</f>
        <v>3.6416582381288345</v>
      </c>
      <c r="EK400" s="125">
        <f>$E$32*EI400</f>
        <v>6.5248821463059068</v>
      </c>
      <c r="EL400" s="125">
        <f>EJ400+EK400</f>
        <v>10.166540384434741</v>
      </c>
      <c r="EM400" s="125"/>
      <c r="EN400" s="125"/>
      <c r="EO400" s="125"/>
      <c r="EP400" s="125"/>
      <c r="EQ400" s="125"/>
      <c r="ER400" s="125"/>
      <c r="ES400" s="125"/>
      <c r="ET400" s="125"/>
      <c r="EU400" s="125">
        <f>'O duodécuplo'!$F$97*$D400*$B400</f>
        <v>123.81638009638037</v>
      </c>
      <c r="EV400" s="125">
        <f t="shared" si="420"/>
        <v>92.833772512925393</v>
      </c>
      <c r="EW400" s="125">
        <f t="shared" si="421"/>
        <v>216.65015260930576</v>
      </c>
    </row>
    <row r="401" spans="2:153" s="38" customFormat="1" ht="15.95" customHeight="1" x14ac:dyDescent="0.25">
      <c r="B401" s="98">
        <f t="shared" si="422"/>
        <v>35</v>
      </c>
      <c r="C401" s="125">
        <f t="shared" si="423"/>
        <v>331.89250191718025</v>
      </c>
      <c r="D401" s="125">
        <f t="shared" si="424"/>
        <v>111.71224244656308</v>
      </c>
      <c r="E401" s="125">
        <f t="shared" si="417"/>
        <v>220.18025947061716</v>
      </c>
      <c r="F401" s="140">
        <f t="shared" si="418"/>
        <v>1.9709590878183216</v>
      </c>
      <c r="G401" s="125">
        <v>0</v>
      </c>
      <c r="H401" s="125">
        <f t="shared" si="425"/>
        <v>3.5301068613113937</v>
      </c>
      <c r="I401" s="125">
        <v>0</v>
      </c>
      <c r="J401" s="125">
        <f t="shared" si="419"/>
        <v>3.5301068613113937</v>
      </c>
      <c r="K401" s="125">
        <f t="shared" si="426"/>
        <v>3.5301068613113937</v>
      </c>
      <c r="L401" s="125">
        <f t="shared" si="428"/>
        <v>3.5301068613113937</v>
      </c>
      <c r="M401" s="125">
        <f t="shared" si="429"/>
        <v>0.11155137681744005</v>
      </c>
      <c r="N401" s="125">
        <f t="shared" si="427"/>
        <v>3.6416582381288336</v>
      </c>
      <c r="O401" s="125">
        <f t="shared" si="430"/>
        <v>7.1717650994402273</v>
      </c>
      <c r="P401" s="125">
        <f t="shared" si="432"/>
        <v>3.5301068613113937</v>
      </c>
      <c r="Q401" s="125">
        <f t="shared" si="433"/>
        <v>0.22662777714231119</v>
      </c>
      <c r="R401" s="125">
        <f t="shared" si="431"/>
        <v>3.7567346384537048</v>
      </c>
      <c r="S401" s="125">
        <f t="shared" si="434"/>
        <v>10.928499737893933</v>
      </c>
      <c r="T401" s="125">
        <f t="shared" si="436"/>
        <v>3.5301068613113937</v>
      </c>
      <c r="U401" s="125">
        <f t="shared" si="437"/>
        <v>0.3453405917174483</v>
      </c>
      <c r="V401" s="125">
        <f t="shared" si="435"/>
        <v>3.8754474530288419</v>
      </c>
      <c r="W401" s="125">
        <f t="shared" si="438"/>
        <v>14.803947190922775</v>
      </c>
      <c r="X401" s="125">
        <f t="shared" si="440"/>
        <v>3.5301068613113937</v>
      </c>
      <c r="Y401" s="125">
        <f t="shared" si="441"/>
        <v>0.46780473123315974</v>
      </c>
      <c r="Z401" s="125">
        <f t="shared" si="439"/>
        <v>3.9979115925445536</v>
      </c>
      <c r="AA401" s="125">
        <f t="shared" si="442"/>
        <v>18.801858783467328</v>
      </c>
      <c r="AB401" s="125">
        <f t="shared" si="444"/>
        <v>3.5301068613113937</v>
      </c>
      <c r="AC401" s="125">
        <f t="shared" si="445"/>
        <v>0.59413873755756763</v>
      </c>
      <c r="AD401" s="125">
        <f t="shared" si="443"/>
        <v>4.1242455988689617</v>
      </c>
      <c r="AE401" s="125">
        <f t="shared" si="446"/>
        <v>22.926104382336288</v>
      </c>
      <c r="AF401" s="125">
        <f t="shared" si="448"/>
        <v>3.5301068613113937</v>
      </c>
      <c r="AG401" s="125">
        <f t="shared" si="449"/>
        <v>0.72446489848182671</v>
      </c>
      <c r="AH401" s="125">
        <f t="shared" si="447"/>
        <v>4.2545717597932207</v>
      </c>
      <c r="AI401" s="125">
        <f t="shared" si="450"/>
        <v>27.180676142129506</v>
      </c>
      <c r="AJ401" s="125">
        <f t="shared" si="452"/>
        <v>3.5301068613113937</v>
      </c>
      <c r="AK401" s="125">
        <f t="shared" si="453"/>
        <v>0.85890936609129254</v>
      </c>
      <c r="AL401" s="125">
        <f t="shared" si="451"/>
        <v>4.3890162274026867</v>
      </c>
      <c r="AM401" s="125">
        <f t="shared" si="454"/>
        <v>31.569692369532195</v>
      </c>
      <c r="AN401" s="125">
        <f t="shared" si="456"/>
        <v>3.5301068613113937</v>
      </c>
      <c r="AO401" s="125">
        <f t="shared" si="457"/>
        <v>0.99760227887721742</v>
      </c>
      <c r="AP401" s="125">
        <f t="shared" si="455"/>
        <v>4.5277091401886107</v>
      </c>
      <c r="AQ401" s="125">
        <f t="shared" si="458"/>
        <v>36.097401509720804</v>
      </c>
      <c r="AR401" s="125">
        <f t="shared" si="460"/>
        <v>3.5301068613113937</v>
      </c>
      <c r="AS401" s="125">
        <f t="shared" si="461"/>
        <v>1.1406778877071775</v>
      </c>
      <c r="AT401" s="125">
        <f t="shared" si="459"/>
        <v>4.670784749018571</v>
      </c>
      <c r="AU401" s="125">
        <f t="shared" si="462"/>
        <v>40.768186258739377</v>
      </c>
      <c r="AV401" s="125">
        <f t="shared" si="464"/>
        <v>3.5301068613113937</v>
      </c>
      <c r="AW401" s="125">
        <f t="shared" si="465"/>
        <v>1.2882746857761644</v>
      </c>
      <c r="AX401" s="125">
        <f t="shared" si="463"/>
        <v>4.8183815470875579</v>
      </c>
      <c r="AY401" s="125">
        <f t="shared" si="466"/>
        <v>45.586567805826938</v>
      </c>
      <c r="AZ401" s="125">
        <f t="shared" si="468"/>
        <v>3.5301068613113937</v>
      </c>
      <c r="BA401" s="125">
        <f t="shared" si="469"/>
        <v>1.4405355426641313</v>
      </c>
      <c r="BB401" s="125">
        <f t="shared" si="467"/>
        <v>4.9706424039755248</v>
      </c>
      <c r="BC401" s="125">
        <f t="shared" si="470"/>
        <v>50.557210209802463</v>
      </c>
      <c r="BD401" s="125">
        <f t="shared" si="472"/>
        <v>3.5301068613113937</v>
      </c>
      <c r="BE401" s="125">
        <f t="shared" si="473"/>
        <v>1.597607842629758</v>
      </c>
      <c r="BF401" s="125">
        <f t="shared" si="471"/>
        <v>5.1277147039411517</v>
      </c>
      <c r="BG401" s="125">
        <f t="shared" si="474"/>
        <v>55.684924913743615</v>
      </c>
      <c r="BH401" s="125">
        <f t="shared" si="476"/>
        <v>3.5301068613113937</v>
      </c>
      <c r="BI401" s="125">
        <f t="shared" si="477"/>
        <v>1.7596436272742983</v>
      </c>
      <c r="BJ401" s="125">
        <f t="shared" si="475"/>
        <v>5.2897504885856925</v>
      </c>
      <c r="BK401" s="125">
        <f t="shared" si="478"/>
        <v>60.974675402329311</v>
      </c>
      <c r="BL401" s="125">
        <f t="shared" si="480"/>
        <v>3.5301068613113937</v>
      </c>
      <c r="BM401" s="125">
        <f t="shared" si="481"/>
        <v>1.9267997427136063</v>
      </c>
      <c r="BN401" s="125">
        <f t="shared" si="479"/>
        <v>5.4569066040249998</v>
      </c>
      <c r="BO401" s="125">
        <f t="shared" si="482"/>
        <v>66.431582006354319</v>
      </c>
      <c r="BP401" s="125">
        <f t="shared" si="484"/>
        <v>3.5301068613113937</v>
      </c>
      <c r="BQ401" s="125">
        <f t="shared" si="485"/>
        <v>2.0992379914007966</v>
      </c>
      <c r="BR401" s="125">
        <f t="shared" si="483"/>
        <v>5.6293448527121903</v>
      </c>
      <c r="BS401" s="125">
        <f t="shared" si="486"/>
        <v>72.060926859066512</v>
      </c>
      <c r="BT401" s="125">
        <f t="shared" si="488"/>
        <v>3.5301068613113937</v>
      </c>
      <c r="BU401" s="125">
        <f t="shared" si="489"/>
        <v>2.2771252887465021</v>
      </c>
      <c r="BV401" s="125">
        <f t="shared" si="487"/>
        <v>5.8072321500578958</v>
      </c>
      <c r="BW401" s="125">
        <f t="shared" si="490"/>
        <v>77.868159009124412</v>
      </c>
      <c r="BX401" s="125">
        <f t="shared" si="492"/>
        <v>3.5301068613113937</v>
      </c>
      <c r="BY401" s="125">
        <f t="shared" si="493"/>
        <v>2.4606338246883315</v>
      </c>
      <c r="BZ401" s="125">
        <f t="shared" si="491"/>
        <v>5.9907406859997252</v>
      </c>
      <c r="CA401" s="125">
        <f t="shared" si="494"/>
        <v>83.858899695124137</v>
      </c>
      <c r="CB401" s="125">
        <f t="shared" si="496"/>
        <v>3.5301068613113937</v>
      </c>
      <c r="CC401" s="125">
        <f t="shared" si="497"/>
        <v>2.6499412303659229</v>
      </c>
      <c r="CD401" s="125">
        <f t="shared" si="495"/>
        <v>6.1800480916773166</v>
      </c>
      <c r="CE401" s="125">
        <f t="shared" si="498"/>
        <v>90.038947786801458</v>
      </c>
      <c r="CF401" s="125">
        <f t="shared" si="500"/>
        <v>3.5301068613113937</v>
      </c>
      <c r="CG401" s="125">
        <f t="shared" si="501"/>
        <v>2.8452307500629264</v>
      </c>
      <c r="CH401" s="125">
        <f t="shared" si="499"/>
        <v>6.3753376113743201</v>
      </c>
      <c r="CI401" s="125">
        <f t="shared" si="502"/>
        <v>96.414285398175778</v>
      </c>
      <c r="CJ401" s="125">
        <f t="shared" si="504"/>
        <v>3.5301068613113937</v>
      </c>
      <c r="CK401" s="125">
        <f t="shared" si="505"/>
        <v>3.046691418582355</v>
      </c>
      <c r="CL401" s="125">
        <f t="shared" si="503"/>
        <v>6.5767982798937492</v>
      </c>
      <c r="CM401" s="125">
        <f t="shared" si="506"/>
        <v>102.99108367806953</v>
      </c>
      <c r="CN401" s="125">
        <f t="shared" si="508"/>
        <v>3.5301068613113937</v>
      </c>
      <c r="CO401" s="125">
        <f t="shared" si="509"/>
        <v>3.2545182442269973</v>
      </c>
      <c r="CP401" s="125">
        <f t="shared" si="507"/>
        <v>6.7846251055383906</v>
      </c>
      <c r="CQ401" s="125">
        <f t="shared" si="510"/>
        <v>109.77570878360793</v>
      </c>
      <c r="CR401" s="125">
        <f t="shared" si="512"/>
        <v>3.5301068613113937</v>
      </c>
      <c r="CS401" s="125">
        <f t="shared" si="513"/>
        <v>3.4689123975620109</v>
      </c>
      <c r="CT401" s="125">
        <f t="shared" si="511"/>
        <v>6.999019258873405</v>
      </c>
      <c r="CU401" s="125">
        <f t="shared" si="514"/>
        <v>116.77472804248133</v>
      </c>
      <c r="CV401" s="125">
        <f t="shared" si="516"/>
        <v>3.5301068613113937</v>
      </c>
      <c r="CW401" s="125">
        <f t="shared" si="517"/>
        <v>3.6900814061424105</v>
      </c>
      <c r="CX401" s="125">
        <f t="shared" si="515"/>
        <v>7.2201882674538043</v>
      </c>
      <c r="CY401" s="125">
        <f t="shared" si="518"/>
        <v>123.99491630993514</v>
      </c>
      <c r="CZ401" s="125">
        <f t="shared" si="520"/>
        <v>3.5301068613113937</v>
      </c>
      <c r="DA401" s="125">
        <f t="shared" si="521"/>
        <v>3.9182393553939505</v>
      </c>
      <c r="DB401" s="125">
        <f t="shared" si="519"/>
        <v>7.4483462167053442</v>
      </c>
      <c r="DC401" s="125">
        <f t="shared" si="522"/>
        <v>131.44326252664047</v>
      </c>
      <c r="DD401" s="125">
        <f t="shared" si="524"/>
        <v>3.5301068613113937</v>
      </c>
      <c r="DE401" s="125">
        <f t="shared" si="525"/>
        <v>4.1536070958418394</v>
      </c>
      <c r="DF401" s="125">
        <f t="shared" si="523"/>
        <v>7.6837139571532331</v>
      </c>
      <c r="DG401" s="125">
        <f t="shared" si="526"/>
        <v>139.1269764837937</v>
      </c>
      <c r="DH401" s="125">
        <f t="shared" si="528"/>
        <v>3.5301068613113937</v>
      </c>
      <c r="DI401" s="125">
        <f t="shared" si="529"/>
        <v>4.3964124568878811</v>
      </c>
      <c r="DJ401" s="125">
        <f t="shared" si="527"/>
        <v>7.9265193181992748</v>
      </c>
      <c r="DK401" s="125">
        <f t="shared" si="530"/>
        <v>147.05349580199297</v>
      </c>
      <c r="DL401" s="125">
        <f t="shared" si="532"/>
        <v>3.5301068613113937</v>
      </c>
      <c r="DM401" s="125">
        <f t="shared" si="533"/>
        <v>4.6468904673429785</v>
      </c>
      <c r="DN401" s="125">
        <f t="shared" si="531"/>
        <v>8.1769973286543731</v>
      </c>
      <c r="DO401" s="125">
        <f t="shared" si="534"/>
        <v>155.23049313064735</v>
      </c>
      <c r="DP401" s="125">
        <f t="shared" si="536"/>
        <v>3.5301068613113937</v>
      </c>
      <c r="DQ401" s="125">
        <f t="shared" si="537"/>
        <v>4.9052835829284565</v>
      </c>
      <c r="DR401" s="125">
        <f t="shared" si="535"/>
        <v>8.4353904442398502</v>
      </c>
      <c r="DS401" s="125">
        <f t="shared" si="538"/>
        <v>163.6658835748872</v>
      </c>
      <c r="DT401" s="125">
        <f t="shared" si="540"/>
        <v>3.5301068613113937</v>
      </c>
      <c r="DU401" s="125">
        <f t="shared" si="541"/>
        <v>5.1718419209664361</v>
      </c>
      <c r="DV401" s="125">
        <f t="shared" si="539"/>
        <v>8.7019487822778299</v>
      </c>
      <c r="DW401" s="125">
        <f t="shared" si="542"/>
        <v>172.36783235716504</v>
      </c>
      <c r="DX401" s="125">
        <f t="shared" si="544"/>
        <v>3.5301068613113937</v>
      </c>
      <c r="DY401" s="125">
        <f t="shared" si="545"/>
        <v>5.4468235024864162</v>
      </c>
      <c r="DZ401" s="125">
        <f t="shared" si="543"/>
        <v>8.9769303637978091</v>
      </c>
      <c r="EA401" s="125">
        <f>DW401+DX401+DY401</f>
        <v>181.34476272096285</v>
      </c>
      <c r="EB401" s="125">
        <f t="shared" si="546"/>
        <v>3.5301068613113937</v>
      </c>
      <c r="EC401" s="125">
        <f t="shared" si="547"/>
        <v>5.7304945019824265</v>
      </c>
      <c r="ED401" s="125">
        <f>EB401+EC401</f>
        <v>9.2606013632938193</v>
      </c>
      <c r="EE401" s="125">
        <f>EA401+EB401+EC401</f>
        <v>190.60536408425668</v>
      </c>
      <c r="EF401" s="125">
        <f>$E$32*D401</f>
        <v>3.5301068613113937</v>
      </c>
      <c r="EG401" s="125">
        <f t="shared" si="548"/>
        <v>6.0231295050625118</v>
      </c>
      <c r="EH401" s="125">
        <f>EF401+EG401</f>
        <v>9.5532363663739055</v>
      </c>
      <c r="EI401" s="125">
        <f>EE401+EF401+EG401</f>
        <v>200.15860045063059</v>
      </c>
      <c r="EJ401" s="125">
        <f t="shared" ref="EJ401:EJ402" si="549">$E$32*$D401</f>
        <v>3.5301068613113937</v>
      </c>
      <c r="EK401" s="125">
        <f t="shared" ref="EK401:EK402" si="550">$E$32*EI401</f>
        <v>6.3250117742399272</v>
      </c>
      <c r="EL401" s="125">
        <f>EJ401+EK401</f>
        <v>9.8551186355513209</v>
      </c>
      <c r="EM401" s="125">
        <f>EI401+EJ401+EK401</f>
        <v>210.01371908618191</v>
      </c>
      <c r="EN401" s="125">
        <f>$E$32*$D401</f>
        <v>3.5301068613113937</v>
      </c>
      <c r="EO401" s="125">
        <f>$E$32*EM401</f>
        <v>6.6364335231233493</v>
      </c>
      <c r="EP401" s="125">
        <f>EN401+EO401</f>
        <v>10.166540384434743</v>
      </c>
      <c r="EQ401" s="125"/>
      <c r="ER401" s="125"/>
      <c r="ES401" s="125"/>
      <c r="ET401" s="125"/>
      <c r="EU401" s="125">
        <f>'O duodécuplo'!$F$97*$D401*$B401</f>
        <v>123.55374014589879</v>
      </c>
      <c r="EV401" s="125">
        <f t="shared" si="420"/>
        <v>96.626519324718373</v>
      </c>
      <c r="EW401" s="125">
        <f t="shared" si="421"/>
        <v>220.18025947061716</v>
      </c>
    </row>
    <row r="402" spans="2:153" s="95" customFormat="1" ht="15.95" customHeight="1" x14ac:dyDescent="0.25">
      <c r="B402" s="97">
        <f t="shared" si="422"/>
        <v>36</v>
      </c>
      <c r="C402" s="231">
        <f t="shared" si="423"/>
        <v>331.89250191718025</v>
      </c>
      <c r="D402" s="231">
        <f t="shared" si="424"/>
        <v>108.29026991718021</v>
      </c>
      <c r="E402" s="231">
        <f t="shared" si="417"/>
        <v>223.60223200000004</v>
      </c>
      <c r="F402" s="248">
        <f t="shared" si="418"/>
        <v>2.0648413949933802</v>
      </c>
      <c r="G402" s="231">
        <v>0</v>
      </c>
      <c r="H402" s="231">
        <f t="shared" si="425"/>
        <v>3.4219725293828951</v>
      </c>
      <c r="I402" s="231">
        <v>0</v>
      </c>
      <c r="J402" s="231">
        <f t="shared" si="419"/>
        <v>3.4219725293828951</v>
      </c>
      <c r="K402" s="231">
        <f t="shared" si="426"/>
        <v>3.4219725293828951</v>
      </c>
      <c r="L402" s="231">
        <f t="shared" si="428"/>
        <v>3.4219725293828951</v>
      </c>
      <c r="M402" s="231">
        <f t="shared" si="429"/>
        <v>0.1081343319284995</v>
      </c>
      <c r="N402" s="231">
        <f t="shared" si="427"/>
        <v>3.5301068613113946</v>
      </c>
      <c r="O402" s="231">
        <f t="shared" si="430"/>
        <v>6.9520793906942897</v>
      </c>
      <c r="P402" s="231">
        <f t="shared" si="432"/>
        <v>3.4219725293828951</v>
      </c>
      <c r="Q402" s="231">
        <f t="shared" si="433"/>
        <v>0.21968570874593957</v>
      </c>
      <c r="R402" s="231">
        <f t="shared" si="431"/>
        <v>3.6416582381288345</v>
      </c>
      <c r="S402" s="231">
        <f t="shared" si="434"/>
        <v>10.593737628823126</v>
      </c>
      <c r="T402" s="231">
        <f t="shared" si="436"/>
        <v>3.4219725293828951</v>
      </c>
      <c r="U402" s="231">
        <f t="shared" si="437"/>
        <v>0.33476210907081083</v>
      </c>
      <c r="V402" s="231">
        <f t="shared" si="435"/>
        <v>3.7567346384537057</v>
      </c>
      <c r="W402" s="231">
        <f t="shared" si="438"/>
        <v>14.350472267276832</v>
      </c>
      <c r="X402" s="231">
        <f t="shared" si="440"/>
        <v>3.4219725293828951</v>
      </c>
      <c r="Y402" s="231">
        <f t="shared" si="441"/>
        <v>0.45347492364594794</v>
      </c>
      <c r="Z402" s="231">
        <f t="shared" si="439"/>
        <v>3.8754474530288432</v>
      </c>
      <c r="AA402" s="231">
        <f t="shared" si="442"/>
        <v>18.225919720305676</v>
      </c>
      <c r="AB402" s="231">
        <f t="shared" si="444"/>
        <v>3.4219725293828951</v>
      </c>
      <c r="AC402" s="231">
        <f t="shared" si="445"/>
        <v>0.57593906316165944</v>
      </c>
      <c r="AD402" s="231">
        <f t="shared" si="443"/>
        <v>3.9979115925445545</v>
      </c>
      <c r="AE402" s="231">
        <f t="shared" si="446"/>
        <v>22.22383131285023</v>
      </c>
      <c r="AF402" s="231">
        <f t="shared" si="448"/>
        <v>3.4219725293828951</v>
      </c>
      <c r="AG402" s="231">
        <f t="shared" si="449"/>
        <v>0.70227306948606738</v>
      </c>
      <c r="AH402" s="231">
        <f t="shared" si="447"/>
        <v>4.1242455988689626</v>
      </c>
      <c r="AI402" s="231">
        <f t="shared" si="450"/>
        <v>26.348076911719193</v>
      </c>
      <c r="AJ402" s="231">
        <f t="shared" si="452"/>
        <v>3.4219725293828951</v>
      </c>
      <c r="AK402" s="231">
        <f t="shared" si="453"/>
        <v>0.83259923041032657</v>
      </c>
      <c r="AL402" s="231">
        <f t="shared" si="451"/>
        <v>4.2545717597932216</v>
      </c>
      <c r="AM402" s="231">
        <f t="shared" si="454"/>
        <v>30.602648671512416</v>
      </c>
      <c r="AN402" s="231">
        <f t="shared" si="456"/>
        <v>3.4219725293828951</v>
      </c>
      <c r="AO402" s="231">
        <f t="shared" si="457"/>
        <v>0.9670436980197924</v>
      </c>
      <c r="AP402" s="231">
        <f t="shared" si="455"/>
        <v>4.3890162274026876</v>
      </c>
      <c r="AQ402" s="231">
        <f t="shared" si="458"/>
        <v>34.991664898915104</v>
      </c>
      <c r="AR402" s="231">
        <f t="shared" si="460"/>
        <v>3.4219725293828951</v>
      </c>
      <c r="AS402" s="231">
        <f t="shared" si="461"/>
        <v>1.1057366108057174</v>
      </c>
      <c r="AT402" s="231">
        <f t="shared" si="459"/>
        <v>4.5277091401886125</v>
      </c>
      <c r="AU402" s="231">
        <f t="shared" si="462"/>
        <v>39.519374039103724</v>
      </c>
      <c r="AV402" s="231">
        <f t="shared" si="464"/>
        <v>3.4219725293828951</v>
      </c>
      <c r="AW402" s="231">
        <f t="shared" si="465"/>
        <v>1.2488122196356779</v>
      </c>
      <c r="AX402" s="231">
        <f t="shared" si="463"/>
        <v>4.6707847490185728</v>
      </c>
      <c r="AY402" s="231">
        <f t="shared" si="466"/>
        <v>44.190158788122304</v>
      </c>
      <c r="AZ402" s="231">
        <f t="shared" si="468"/>
        <v>3.4219725293828951</v>
      </c>
      <c r="BA402" s="231">
        <f t="shared" si="469"/>
        <v>1.3964090177046649</v>
      </c>
      <c r="BB402" s="231">
        <f t="shared" si="467"/>
        <v>4.8183815470875597</v>
      </c>
      <c r="BC402" s="231">
        <f t="shared" si="470"/>
        <v>49.008540335209865</v>
      </c>
      <c r="BD402" s="231">
        <f t="shared" si="472"/>
        <v>3.4219725293828951</v>
      </c>
      <c r="BE402" s="231">
        <f t="shared" si="473"/>
        <v>1.5486698745926319</v>
      </c>
      <c r="BF402" s="231">
        <f t="shared" si="471"/>
        <v>4.9706424039755266</v>
      </c>
      <c r="BG402" s="231">
        <f t="shared" si="474"/>
        <v>53.97918273918539</v>
      </c>
      <c r="BH402" s="231">
        <f t="shared" si="476"/>
        <v>3.4219725293828951</v>
      </c>
      <c r="BI402" s="231">
        <f t="shared" si="477"/>
        <v>1.7057421745582584</v>
      </c>
      <c r="BJ402" s="231">
        <f t="shared" si="475"/>
        <v>5.1277147039411535</v>
      </c>
      <c r="BK402" s="231">
        <f t="shared" si="478"/>
        <v>59.106897443126549</v>
      </c>
      <c r="BL402" s="231">
        <f t="shared" si="480"/>
        <v>3.4219725293828951</v>
      </c>
      <c r="BM402" s="231">
        <f t="shared" si="481"/>
        <v>1.8677779592027992</v>
      </c>
      <c r="BN402" s="231">
        <f t="shared" si="479"/>
        <v>5.2897504885856943</v>
      </c>
      <c r="BO402" s="231">
        <f t="shared" si="482"/>
        <v>64.396647931712238</v>
      </c>
      <c r="BP402" s="231">
        <f t="shared" si="484"/>
        <v>3.4219725293828951</v>
      </c>
      <c r="BQ402" s="231">
        <f t="shared" si="485"/>
        <v>2.034934074642107</v>
      </c>
      <c r="BR402" s="231">
        <f t="shared" si="483"/>
        <v>5.4569066040250025</v>
      </c>
      <c r="BS402" s="231">
        <f t="shared" si="486"/>
        <v>69.853554535737246</v>
      </c>
      <c r="BT402" s="231">
        <f t="shared" si="488"/>
        <v>3.4219725293828951</v>
      </c>
      <c r="BU402" s="231">
        <f t="shared" si="489"/>
        <v>2.207372323329297</v>
      </c>
      <c r="BV402" s="231">
        <f t="shared" si="487"/>
        <v>5.6293448527121921</v>
      </c>
      <c r="BW402" s="231">
        <f t="shared" si="490"/>
        <v>75.482899388449439</v>
      </c>
      <c r="BX402" s="231">
        <f t="shared" si="492"/>
        <v>3.4219725293828951</v>
      </c>
      <c r="BY402" s="231">
        <f t="shared" si="493"/>
        <v>2.3852596206750025</v>
      </c>
      <c r="BZ402" s="231">
        <f t="shared" si="491"/>
        <v>5.8072321500578976</v>
      </c>
      <c r="CA402" s="231">
        <f t="shared" si="494"/>
        <v>81.290131538507339</v>
      </c>
      <c r="CB402" s="231">
        <f t="shared" si="496"/>
        <v>3.4219725293828951</v>
      </c>
      <c r="CC402" s="231">
        <f t="shared" si="497"/>
        <v>2.5687681566168323</v>
      </c>
      <c r="CD402" s="231">
        <f t="shared" si="495"/>
        <v>5.990740685999727</v>
      </c>
      <c r="CE402" s="231">
        <f t="shared" si="498"/>
        <v>87.280872224507064</v>
      </c>
      <c r="CF402" s="231">
        <f t="shared" si="500"/>
        <v>3.4219725293828951</v>
      </c>
      <c r="CG402" s="231">
        <f t="shared" si="501"/>
        <v>2.7580755622944233</v>
      </c>
      <c r="CH402" s="231">
        <f t="shared" si="499"/>
        <v>6.1800480916773184</v>
      </c>
      <c r="CI402" s="231">
        <f t="shared" si="502"/>
        <v>93.460920316184385</v>
      </c>
      <c r="CJ402" s="231">
        <f t="shared" si="504"/>
        <v>3.4219725293828951</v>
      </c>
      <c r="CK402" s="231">
        <f t="shared" si="505"/>
        <v>2.9533650819914268</v>
      </c>
      <c r="CL402" s="231">
        <f t="shared" si="503"/>
        <v>6.3753376113743219</v>
      </c>
      <c r="CM402" s="231">
        <f t="shared" si="506"/>
        <v>99.836257927558705</v>
      </c>
      <c r="CN402" s="231">
        <f t="shared" si="508"/>
        <v>3.4219725293828951</v>
      </c>
      <c r="CO402" s="231">
        <f t="shared" si="509"/>
        <v>3.1548257505108555</v>
      </c>
      <c r="CP402" s="231">
        <f t="shared" si="507"/>
        <v>6.576798279893751</v>
      </c>
      <c r="CQ402" s="231">
        <f t="shared" si="510"/>
        <v>106.41305620745246</v>
      </c>
      <c r="CR402" s="231">
        <f t="shared" si="512"/>
        <v>3.4219725293828951</v>
      </c>
      <c r="CS402" s="231">
        <f t="shared" si="513"/>
        <v>3.3626525761554977</v>
      </c>
      <c r="CT402" s="231">
        <f t="shared" si="511"/>
        <v>6.7846251055383924</v>
      </c>
      <c r="CU402" s="231">
        <f t="shared" si="514"/>
        <v>113.19768131299085</v>
      </c>
      <c r="CV402" s="231">
        <f t="shared" si="516"/>
        <v>3.4219725293828951</v>
      </c>
      <c r="CW402" s="231">
        <f t="shared" si="517"/>
        <v>3.5770467294905113</v>
      </c>
      <c r="CX402" s="231">
        <f t="shared" si="515"/>
        <v>6.9990192588734068</v>
      </c>
      <c r="CY402" s="231">
        <f t="shared" si="518"/>
        <v>120.19670057186426</v>
      </c>
      <c r="CZ402" s="231">
        <f t="shared" si="520"/>
        <v>3.4219725293828951</v>
      </c>
      <c r="DA402" s="231">
        <f t="shared" si="521"/>
        <v>3.798215738070911</v>
      </c>
      <c r="DB402" s="231">
        <f t="shared" si="519"/>
        <v>7.220188267453806</v>
      </c>
      <c r="DC402" s="231">
        <f t="shared" si="522"/>
        <v>127.41688883931806</v>
      </c>
      <c r="DD402" s="231">
        <f t="shared" si="524"/>
        <v>3.4219725293828951</v>
      </c>
      <c r="DE402" s="231">
        <f t="shared" si="525"/>
        <v>4.0263736873224509</v>
      </c>
      <c r="DF402" s="231">
        <f t="shared" si="523"/>
        <v>7.448346216705346</v>
      </c>
      <c r="DG402" s="231">
        <f t="shared" si="526"/>
        <v>134.86523505602341</v>
      </c>
      <c r="DH402" s="231">
        <f t="shared" si="528"/>
        <v>3.4219725293828951</v>
      </c>
      <c r="DI402" s="231">
        <f t="shared" si="529"/>
        <v>4.2617414277703398</v>
      </c>
      <c r="DJ402" s="231">
        <f t="shared" si="527"/>
        <v>7.6837139571532349</v>
      </c>
      <c r="DK402" s="231">
        <f t="shared" si="530"/>
        <v>142.54894901317664</v>
      </c>
      <c r="DL402" s="231">
        <f t="shared" si="532"/>
        <v>3.4219725293828951</v>
      </c>
      <c r="DM402" s="231">
        <f t="shared" si="533"/>
        <v>4.5045467888163824</v>
      </c>
      <c r="DN402" s="231">
        <f t="shared" si="531"/>
        <v>7.9265193181992775</v>
      </c>
      <c r="DO402" s="231">
        <f t="shared" si="534"/>
        <v>150.47546833137591</v>
      </c>
      <c r="DP402" s="231">
        <f t="shared" si="536"/>
        <v>3.4219725293828951</v>
      </c>
      <c r="DQ402" s="231">
        <f t="shared" si="537"/>
        <v>4.7550247992714789</v>
      </c>
      <c r="DR402" s="231">
        <f t="shared" si="535"/>
        <v>8.1769973286543731</v>
      </c>
      <c r="DS402" s="231">
        <f t="shared" si="538"/>
        <v>158.65246566003026</v>
      </c>
      <c r="DT402" s="231">
        <f t="shared" si="540"/>
        <v>3.4219725293828951</v>
      </c>
      <c r="DU402" s="231">
        <f t="shared" si="541"/>
        <v>5.0134179148569569</v>
      </c>
      <c r="DV402" s="231">
        <f t="shared" si="539"/>
        <v>8.435390444239852</v>
      </c>
      <c r="DW402" s="231">
        <f t="shared" si="542"/>
        <v>167.08785610427009</v>
      </c>
      <c r="DX402" s="231">
        <f t="shared" si="544"/>
        <v>3.4219725293828951</v>
      </c>
      <c r="DY402" s="231">
        <f t="shared" si="545"/>
        <v>5.2799762528949357</v>
      </c>
      <c r="DZ402" s="231">
        <f t="shared" si="543"/>
        <v>8.7019487822778316</v>
      </c>
      <c r="EA402" s="231">
        <f>DW402+DX402+DY402</f>
        <v>175.7898048865479</v>
      </c>
      <c r="EB402" s="231">
        <f>$E$32*$D402</f>
        <v>3.4219725293828951</v>
      </c>
      <c r="EC402" s="231">
        <f t="shared" si="547"/>
        <v>5.554957834414914</v>
      </c>
      <c r="ED402" s="231">
        <f>EB402+EC402</f>
        <v>8.9769303637978091</v>
      </c>
      <c r="EE402" s="231">
        <f>EA402+EB402+EC402</f>
        <v>184.7667352503457</v>
      </c>
      <c r="EF402" s="231">
        <f>$E$32*D402</f>
        <v>3.4219725293828951</v>
      </c>
      <c r="EG402" s="231">
        <f t="shared" si="548"/>
        <v>5.8386288339109251</v>
      </c>
      <c r="EH402" s="231">
        <f>EF402+EG402</f>
        <v>9.2606013632938193</v>
      </c>
      <c r="EI402" s="231">
        <f>EE402+EF402+EG402</f>
        <v>194.02733661363951</v>
      </c>
      <c r="EJ402" s="231">
        <f t="shared" si="549"/>
        <v>3.4219725293828951</v>
      </c>
      <c r="EK402" s="231">
        <f t="shared" si="550"/>
        <v>6.1312638369910086</v>
      </c>
      <c r="EL402" s="231">
        <f>EJ402+EK402</f>
        <v>9.5532363663739037</v>
      </c>
      <c r="EM402" s="231">
        <f>EI402+EJ402+EK402</f>
        <v>203.58057298001339</v>
      </c>
      <c r="EN402" s="231">
        <f>$E$32*$D402</f>
        <v>3.4219725293828951</v>
      </c>
      <c r="EO402" s="231">
        <f>$E$32*EM402</f>
        <v>6.4331461061684232</v>
      </c>
      <c r="EP402" s="231">
        <f>EN402+EO402</f>
        <v>9.8551186355513174</v>
      </c>
      <c r="EQ402" s="231">
        <f>EM402+EN402+EO402</f>
        <v>213.43569161556471</v>
      </c>
      <c r="ER402" s="231">
        <f>$E$32*$D402</f>
        <v>3.4219725293828951</v>
      </c>
      <c r="ES402" s="231">
        <f>$E$32*EQ402</f>
        <v>6.7445678550518453</v>
      </c>
      <c r="ET402" s="231">
        <f>ER402+ES402</f>
        <v>10.16654038443474</v>
      </c>
      <c r="EU402" s="231">
        <f>'O duodécuplo'!$F$97*$D402*$B402</f>
        <v>123.19101105778422</v>
      </c>
      <c r="EV402" s="231">
        <f t="shared" si="420"/>
        <v>100.41122094221582</v>
      </c>
      <c r="EW402" s="231">
        <f t="shared" si="421"/>
        <v>223.60223200000004</v>
      </c>
    </row>
    <row r="403" spans="2:153" s="95" customFormat="1" ht="15.95" customHeight="1" x14ac:dyDescent="0.25">
      <c r="B403" s="232" t="s">
        <v>23</v>
      </c>
      <c r="C403" s="233">
        <f ca="1">SUM(C367:INDIRECT(ADDRESS(ROW($C$403)-1,3)))</f>
        <v>11948.130069018489</v>
      </c>
      <c r="D403" s="233">
        <f ca="1">SUM(D367:INDIRECT(ADDRESS(ROW($D$403)-1,4)))</f>
        <v>7076.0199999999886</v>
      </c>
      <c r="E403" s="233">
        <f ca="1">SUM(E367:INDIRECT(ADDRESS(ROW($E$403)-1,5)))</f>
        <v>4872.1100690184994</v>
      </c>
      <c r="F403" s="249"/>
      <c r="G403" s="249"/>
      <c r="H403" s="233">
        <f ca="1">SUM(H367:INDIRECT(ADDRESS(ROW($H$403)-1,8)))</f>
        <v>223.60223199999965</v>
      </c>
      <c r="I403" s="233">
        <f ca="1">SUM(I367:INDIRECT(ADDRESS(ROW($I$403)-1,9)))</f>
        <v>0</v>
      </c>
      <c r="J403" s="233">
        <f ca="1">SUM(J367:INDIRECT(ADDRESS(ROW($J$403)-1,10)))</f>
        <v>223.60223199999965</v>
      </c>
      <c r="K403" s="249"/>
      <c r="L403" s="233">
        <f ca="1">SUM(L367:INDIRECT(ADDRESS(ROW($L$403)-1,12)))</f>
        <v>213.43569161556491</v>
      </c>
      <c r="M403" s="233">
        <f ca="1">SUM(M367:INDIRECT(ADDRESS(ROW($M$403)-1,13)))</f>
        <v>6.7445678550518542</v>
      </c>
      <c r="N403" s="233">
        <f ca="1">SUM(N367:INDIRECT(ADDRESS(ROW($N$403)-1,14)))</f>
        <v>220.18025947061676</v>
      </c>
      <c r="O403" s="233"/>
      <c r="P403" s="233">
        <f ca="1">SUM(P367:INDIRECT(ADDRESS(ROW($P$403)-1,16)))</f>
        <v>203.58057298001356</v>
      </c>
      <c r="Q403" s="233">
        <f ca="1">SUM(Q367:INDIRECT(ADDRESS(ROW($Q$403)-1,17)))</f>
        <v>13.069579629291784</v>
      </c>
      <c r="R403" s="233">
        <f ca="1">SUM(R367:INDIRECT(ADDRESS(ROW($R$403)-1,18)))</f>
        <v>216.65015260930537</v>
      </c>
      <c r="S403" s="233"/>
      <c r="T403" s="233">
        <f ca="1">SUM(T367:INDIRECT(ADDRESS(ROW($T$403)-1,20)))</f>
        <v>194.02733661363965</v>
      </c>
      <c r="U403" s="233">
        <f ca="1">SUM(U367:INDIRECT(ADDRESS(ROW($U$403)-1,21)))</f>
        <v>18.981157757536863</v>
      </c>
      <c r="V403" s="233">
        <f ca="1">SUM(V367:INDIRECT(ADDRESS(ROW($V$403)-1,22)))</f>
        <v>213.00849437117654</v>
      </c>
      <c r="W403" s="233"/>
      <c r="X403" s="233">
        <f ca="1">SUM(X367:INDIRECT(ADDRESS(ROW($X$403)-1,24)))</f>
        <v>184.76673525034582</v>
      </c>
      <c r="Y403" s="233">
        <f ca="1">SUM(Y367:INDIRECT(ADDRESS(ROW($Y$403)-1,25)))</f>
        <v>24.485024482376978</v>
      </c>
      <c r="Z403" s="233">
        <f ca="1">SUM(Z367:INDIRECT(ADDRESS(ROW($Z$403)-1,26)))</f>
        <v>209.2517597327228</v>
      </c>
      <c r="AA403" s="233"/>
      <c r="AB403" s="233">
        <f ca="1">SUM(AB367:INDIRECT(ADDRESS(ROW($AB$403)-1,28)))</f>
        <v>175.78980488654801</v>
      </c>
      <c r="AC403" s="233">
        <f ca="1">SUM(AC367:INDIRECT(ADDRESS(ROW($AC$403)-1,29)))</f>
        <v>29.586507393145947</v>
      </c>
      <c r="AD403" s="233">
        <f ca="1">SUM(AD367:INDIRECT(ADDRESS(ROW($AD$403)-1,30)))</f>
        <v>205.37631227969399</v>
      </c>
      <c r="AE403" s="233"/>
      <c r="AF403" s="233">
        <f ca="1">SUM(AF367:INDIRECT(ADDRESS(ROW($AF$403)-1,32)))</f>
        <v>167.08785610427017</v>
      </c>
      <c r="AG403" s="233">
        <f ca="1">SUM(AG367:INDIRECT(ADDRESS(ROW($AG$403)-1,33)))</f>
        <v>34.290544582879221</v>
      </c>
      <c r="AH403" s="233">
        <f ca="1">SUM(AH367:INDIRECT(ADDRESS(ROW($AH$403)-1,34)))</f>
        <v>201.37840068714939</v>
      </c>
      <c r="AI403" s="233"/>
      <c r="AJ403" s="233">
        <f ca="1">SUM(AJ367:INDIRECT(ADDRESS(ROW($AJ$403)-1,36)))</f>
        <v>158.65246566003032</v>
      </c>
      <c r="AK403" s="233">
        <f ca="1">SUM(AK367:INDIRECT(ADDRESS(ROW($AK$403)-1,37)))</f>
        <v>38.601689428250111</v>
      </c>
      <c r="AL403" s="233">
        <f ca="1">SUM(AL367:INDIRECT(ADDRESS(ROW($AL$403)-1,38)))</f>
        <v>197.25415508828047</v>
      </c>
      <c r="AM403" s="231"/>
      <c r="AN403" s="233">
        <f ca="1">SUM(AN367:INDIRECT(ADDRESS(ROW($AN$403)-1,40)))</f>
        <v>150.47546833137596</v>
      </c>
      <c r="AO403" s="233">
        <f ca="1">SUM(AO367:INDIRECT(ADDRESS(ROW($AO$403)-1,41)))</f>
        <v>42.524114997111262</v>
      </c>
      <c r="AP403" s="233">
        <f ca="1">SUM(AP367:INDIRECT(ADDRESS(ROW($AP$403)-1,42)))</f>
        <v>192.99958332848726</v>
      </c>
      <c r="AQ403" s="233"/>
      <c r="AR403" s="233">
        <f ca="1">SUM(AR367:INDIRECT(ADDRESS(ROW($AR$403)-1,44)))</f>
        <v>142.54894901317667</v>
      </c>
      <c r="AS403" s="233">
        <f ca="1">SUM(AS367:INDIRECT(ADDRESS(ROW($AS$403)-1,45)))</f>
        <v>46.06161808790786</v>
      </c>
      <c r="AT403" s="233">
        <f ca="1">SUM(AT367:INDIRECT(ADDRESS(ROW($AT$403)-1,46)))</f>
        <v>188.61056710108454</v>
      </c>
      <c r="AU403" s="231"/>
      <c r="AV403" s="233">
        <f ca="1">SUM(AV367:INDIRECT(ADDRESS(ROW($AV$403)-1,48)))</f>
        <v>134.86523505602344</v>
      </c>
      <c r="AW403" s="233">
        <f ca="1">SUM(AW367:INDIRECT(ADDRESS(ROW($AW$403)-1,49)))</f>
        <v>49.217622904872485</v>
      </c>
      <c r="AX403" s="233">
        <f ca="1">SUM(AX367:INDIRECT(ADDRESS(ROW($AX$403)-1,50)))</f>
        <v>184.08285796089592</v>
      </c>
      <c r="AY403" s="233"/>
      <c r="AZ403" s="233">
        <f ca="1">SUM(AZ367:INDIRECT(ADDRESS(ROW($AZ$403)-1,52)))</f>
        <v>127.41688883931812</v>
      </c>
      <c r="BA403" s="233">
        <f ca="1">SUM(BA367:INDIRECT(ADDRESS(ROW($BA$403)-1,53)))</f>
        <v>51.995184372559251</v>
      </c>
      <c r="BB403" s="233">
        <f ca="1">SUM(BB367:INDIRECT(ADDRESS(ROW($BB$403)-1,54)))</f>
        <v>179.41207321187736</v>
      </c>
      <c r="BC403" s="233"/>
      <c r="BD403" s="233">
        <f ca="1">SUM(BD367:INDIRECT(ADDRESS(ROW($BD$403)-1,56)))</f>
        <v>120.19670057186431</v>
      </c>
      <c r="BE403" s="233">
        <f ca="1">SUM(BE367:INDIRECT(ADDRESS(ROW($BE$403)-1,57)))</f>
        <v>54.396991092925497</v>
      </c>
      <c r="BF403" s="233">
        <f ca="1">SUM(BF367:INDIRECT(ADDRESS(ROW($BF$403)-1,58)))</f>
        <v>174.59369166478976</v>
      </c>
      <c r="BG403" s="233"/>
      <c r="BH403" s="233">
        <f ca="1">SUM(BH367:INDIRECT(ADDRESS(ROW($BH$403)-1,60)))</f>
        <v>113.19768131299088</v>
      </c>
      <c r="BI403" s="233">
        <f ca="1">SUM(BI367:INDIRECT(ADDRESS(ROW($BI$403)-1,61)))</f>
        <v>56.425367947823375</v>
      </c>
      <c r="BJ403" s="233">
        <f ca="1">SUM(BJ367:INDIRECT(ADDRESS(ROW($BJ$403)-1,62)))</f>
        <v>169.62304926081427</v>
      </c>
      <c r="BK403" s="233"/>
      <c r="BL403" s="233">
        <f ca="1">SUM(BL367:INDIRECT(ADDRESS(ROW($BL$403)-1,64)))</f>
        <v>106.41305620745248</v>
      </c>
      <c r="BM403" s="233">
        <f ca="1">SUM(BM367:INDIRECT(ADDRESS(ROW($BM$403)-1,65)))</f>
        <v>58.082278349420612</v>
      </c>
      <c r="BN403" s="233">
        <f ca="1">SUM(BN367:INDIRECT(ADDRESS(ROW($BN$403)-1,66)))</f>
        <v>164.49533455687308</v>
      </c>
      <c r="BO403" s="233"/>
      <c r="BP403" s="233">
        <f ca="1">SUM(BP367:INDIRECT(ADDRESS(ROW($BP$403)-1,68)))</f>
        <v>99.836257927558734</v>
      </c>
      <c r="BQ403" s="233">
        <f ca="1">SUM(BQ367:INDIRECT(ADDRESS(ROW($BQ$403)-1,69)))</f>
        <v>59.369326140728674</v>
      </c>
      <c r="BR403" s="233">
        <f ca="1">SUM(BR367:INDIRECT(ADDRESS(ROW($BR$403)-1,70)))</f>
        <v>159.20558406828741</v>
      </c>
      <c r="BS403" s="233"/>
      <c r="BT403" s="233">
        <f ca="1">SUM(BT367:INDIRECT(ADDRESS(ROW($BT$403)-1,72)))</f>
        <v>93.460920316184399</v>
      </c>
      <c r="BU403" s="233">
        <f ca="1">SUM(BU367:INDIRECT(ADDRESS(ROW($BU$403)-1,73)))</f>
        <v>60.287757148077993</v>
      </c>
      <c r="BV403" s="233">
        <f ca="1">SUM(BV367:INDIRECT(ADDRESS(ROW($BV$403)-1,74)))</f>
        <v>153.74867746426239</v>
      </c>
      <c r="BW403" s="233"/>
      <c r="BX403" s="233">
        <f ca="1">SUM(BX367:INDIRECT(ADDRESS(ROW($BX$403)-1,76)))</f>
        <v>87.280872224507064</v>
      </c>
      <c r="BY403" s="233">
        <f ca="1">SUM(BY367:INDIRECT(ADDRESS(ROW($BY$403)-1,77)))</f>
        <v>60.838460387043106</v>
      </c>
      <c r="BZ403" s="233">
        <f ca="1">SUM(BZ367:INDIRECT(ADDRESS(ROW($BZ$403)-1,78)))</f>
        <v>148.11933261155016</v>
      </c>
      <c r="CA403" s="233"/>
      <c r="CB403" s="233">
        <f ca="1">SUM(CB367:INDIRECT(ADDRESS(ROW($CB$403)-1,80)))</f>
        <v>81.290131538507339</v>
      </c>
      <c r="CC403" s="233">
        <f ca="1">SUM(CC367:INDIRECT(ADDRESS(ROW($CC$403)-1,81)))</f>
        <v>61.021968922984939</v>
      </c>
      <c r="CD403" s="233">
        <f ca="1">SUM(CD367:INDIRECT(ADDRESS(ROW($CD$403)-1,82)))</f>
        <v>142.31210046149226</v>
      </c>
      <c r="CE403" s="233"/>
      <c r="CF403" s="233">
        <f ca="1">SUM(CF367:INDIRECT(ADDRESS(ROW($CF$403)-1,84)))</f>
        <v>75.482899388449425</v>
      </c>
      <c r="CG403" s="233">
        <f ca="1">SUM(CG367:INDIRECT(ADDRESS(ROW($CG$403)-1,85)))</f>
        <v>60.838460387043114</v>
      </c>
      <c r="CH403" s="233">
        <f ca="1">SUM(CH367:INDIRECT(ADDRESS(ROW($CH$403)-1,86)))</f>
        <v>136.32135977549254</v>
      </c>
      <c r="CI403" s="233"/>
      <c r="CJ403" s="233">
        <f ca="1">SUM(CJ367:INDIRECT(ADDRESS(ROW($CJ$403)-1,88)))</f>
        <v>69.853554535737231</v>
      </c>
      <c r="CK403" s="233">
        <f ca="1">SUM(CK367:INDIRECT(ADDRESS(ROW($CK$403)-1,89)))</f>
        <v>60.287757148077979</v>
      </c>
      <c r="CL403" s="233">
        <f ca="1">SUM(CL367:INDIRECT(ADDRESS(ROW($CL$403)-1,90)))</f>
        <v>130.14131168381525</v>
      </c>
      <c r="CM403" s="233"/>
      <c r="CN403" s="233">
        <f ca="1">SUM(CN367:INDIRECT(ADDRESS(ROW($CN$403)-1,92)))</f>
        <v>64.396647931712224</v>
      </c>
      <c r="CO403" s="233">
        <f ca="1">SUM(CO367:INDIRECT(ADDRESS(ROW($CO$403)-1,93)))</f>
        <v>59.369326140728667</v>
      </c>
      <c r="CP403" s="233">
        <f ca="1">SUM(CP367:INDIRECT(ADDRESS(ROW($CP$403)-1,94)))</f>
        <v>123.76597407244088</v>
      </c>
      <c r="CQ403" s="233"/>
      <c r="CR403" s="233">
        <f ca="1">SUM(CR367:INDIRECT(ADDRESS(ROW($CR$403)-1,96)))</f>
        <v>59.106897443126527</v>
      </c>
      <c r="CS403" s="233">
        <f ca="1">SUM(CS367:INDIRECT(ADDRESS(ROW($CS$403)-1,97)))</f>
        <v>58.082278349420605</v>
      </c>
      <c r="CT403" s="233">
        <f ca="1">SUM(CT367:INDIRECT(ADDRESS(ROW($CT$403)-1,98)))</f>
        <v>117.18917579254715</v>
      </c>
      <c r="CU403" s="233"/>
      <c r="CV403" s="233">
        <f ca="1">SUM(CV367:INDIRECT(ADDRESS(ROW($CV$403)-1,100)))</f>
        <v>53.979182739185376</v>
      </c>
      <c r="CW403" s="233">
        <f ca="1">SUM(CW367:INDIRECT(ADDRESS(ROW($CW$403)-1,101)))</f>
        <v>56.425367947823368</v>
      </c>
      <c r="CX403" s="233">
        <f ca="1">SUM(CX367:INDIRECT(ADDRESS(ROW($CX$403)-1,102)))</f>
        <v>110.40455068700875</v>
      </c>
      <c r="CY403" s="233"/>
      <c r="CZ403" s="233">
        <f ca="1">SUM(CZ367:INDIRECT(ADDRESS(ROW($CZ$403)-1,104)))</f>
        <v>49.008540335209844</v>
      </c>
      <c r="DA403" s="233">
        <f ca="1">SUM(DA367:INDIRECT(ADDRESS(ROW($DA$403)-1,105)))</f>
        <v>54.396991092925475</v>
      </c>
      <c r="DB403" s="233">
        <f ca="1">SUM(DB367:INDIRECT(ADDRESS(ROW($DB$403)-1,106)))</f>
        <v>103.40553142813533</v>
      </c>
      <c r="DC403" s="233"/>
      <c r="DD403" s="233">
        <f ca="1">SUM(DD367:INDIRECT(ADDRESS(ROW($DD$403)-1,108)))</f>
        <v>44.190158788122289</v>
      </c>
      <c r="DE403" s="233">
        <f ca="1">SUM(DE367:INDIRECT(ADDRESS(ROW($DE$403)-1,109)))</f>
        <v>51.995184372559237</v>
      </c>
      <c r="DF403" s="233">
        <f ca="1">SUM(DF367:INDIRECT(ADDRESS(ROW($DF$403)-1,110)))</f>
        <v>96.185343160681512</v>
      </c>
      <c r="DG403" s="233"/>
      <c r="DH403" s="233">
        <f ca="1">SUM(DH367:INDIRECT(ADDRESS(ROW($DH$403)-1,112)))</f>
        <v>39.51937403910371</v>
      </c>
      <c r="DI403" s="233">
        <f ca="1">SUM(DI367:INDIRECT(ADDRESS(ROW($DI$403)-1,113)))</f>
        <v>49.217622904872457</v>
      </c>
      <c r="DJ403" s="233">
        <f ca="1">SUM(DJ367:INDIRECT(ADDRESS(ROW($DJ$403)-1,114)))</f>
        <v>88.73699694397618</v>
      </c>
      <c r="DK403" s="233"/>
      <c r="DL403" s="233">
        <f ca="1">SUM(DL367:INDIRECT(ADDRESS(ROW($DL$403)-1,116)))</f>
        <v>34.991664898915104</v>
      </c>
      <c r="DM403" s="233">
        <f ca="1">SUM(DM367:INDIRECT(ADDRESS(ROW($DM$403)-1,117)))</f>
        <v>46.061618087907839</v>
      </c>
      <c r="DN403" s="233">
        <f ca="1">SUM(DN367:INDIRECT(ADDRESS(ROW($DN$403)-1,118)))</f>
        <v>81.053282986822936</v>
      </c>
      <c r="DO403" s="233"/>
      <c r="DP403" s="233">
        <f ca="1">SUM(DP367:INDIRECT(ADDRESS(ROW($DP$403)-1,120)))</f>
        <v>30.602648671512409</v>
      </c>
      <c r="DQ403" s="233">
        <f ca="1">SUM(DQ367:INDIRECT(ADDRESS(ROW($DQ$403)-1,121)))</f>
        <v>42.524114997111248</v>
      </c>
      <c r="DR403" s="233">
        <f ca="1">SUM(DR367:INDIRECT(ADDRESS(ROW($DR$403)-1,122)))</f>
        <v>73.126763668623653</v>
      </c>
      <c r="DS403" s="233"/>
      <c r="DT403" s="233">
        <f ca="1">SUM(DT367:INDIRECT(ADDRESS(ROW($DT$403)-1,124)))</f>
        <v>26.348076911719193</v>
      </c>
      <c r="DU403" s="233">
        <f ca="1">SUM(DU367:INDIRECT(ADDRESS(ROW($DU$403)-1,125)))</f>
        <v>38.601689428250097</v>
      </c>
      <c r="DV403" s="233">
        <f ca="1">SUM(DV367:INDIRECT(ADDRESS(ROW($DV$403)-1,126)))</f>
        <v>64.949766339969287</v>
      </c>
      <c r="DW403" s="233"/>
      <c r="DX403" s="233">
        <f ca="1">SUM(DX367:INDIRECT(ADDRESS(ROW($DX$403)-1,128)))</f>
        <v>22.223831312850226</v>
      </c>
      <c r="DY403" s="233">
        <f ca="1">SUM(DY367:INDIRECT(ADDRESS(ROW($DY$403)-1,129)))</f>
        <v>34.290544582879207</v>
      </c>
      <c r="DZ403" s="233">
        <f ca="1">SUM(DZ367:INDIRECT(ADDRESS(ROW($DZ$403)-1,130)))</f>
        <v>56.514375895729437</v>
      </c>
      <c r="EA403" s="233"/>
      <c r="EB403" s="233">
        <f ca="1">SUM(EB367:INDIRECT(ADDRESS(ROW($EB$403)-1,132)))</f>
        <v>18.225919720305672</v>
      </c>
      <c r="EC403" s="233">
        <f ca="1">SUM(EC367:INDIRECT(ADDRESS(ROW($EC$403)-1,133)))</f>
        <v>29.586507393145929</v>
      </c>
      <c r="ED403" s="233">
        <f ca="1">SUM(ED367:INDIRECT(ADDRESS(ROW($ED$403)-1,134)))</f>
        <v>47.812427113451591</v>
      </c>
      <c r="EE403" s="233"/>
      <c r="EF403" s="233">
        <f ca="1">SUM(EF367:INDIRECT(ADDRESS(ROW($EF$403)-1,136)))</f>
        <v>14.350472267276828</v>
      </c>
      <c r="EG403" s="233">
        <f ca="1">SUM(EG367:INDIRECT(ADDRESS(ROW($EG$403)-1,137)))</f>
        <v>24.485024482376957</v>
      </c>
      <c r="EH403" s="233">
        <f ca="1">SUM(EH367:INDIRECT(ADDRESS(ROW($EH$403)-1,138)))</f>
        <v>38.835496749653785</v>
      </c>
      <c r="EI403" s="233"/>
      <c r="EJ403" s="233">
        <f ca="1">SUM(EJ367:INDIRECT(ADDRESS(ROW($EJ$403)-1,140)))</f>
        <v>10.593737628823124</v>
      </c>
      <c r="EK403" s="233">
        <f ca="1">SUM(EK367:INDIRECT(ADDRESS(ROW($EK$403)-1,141)))</f>
        <v>18.981157757536842</v>
      </c>
      <c r="EL403" s="233">
        <f ca="1">SUM(EL367:INDIRECT(ADDRESS(ROW($EL$403)-1,142)))</f>
        <v>29.574895386359962</v>
      </c>
      <c r="EM403" s="233"/>
      <c r="EN403" s="233">
        <f ca="1">SUM(EN367:INDIRECT(ADDRESS(ROW($EN$403)-1,144)))</f>
        <v>6.9520793906942888</v>
      </c>
      <c r="EO403" s="233">
        <f ca="1">SUM(EO367:INDIRECT(ADDRESS(ROW($EO$403)-1,145)))</f>
        <v>13.069579629291773</v>
      </c>
      <c r="EP403" s="233">
        <f ca="1">SUM(EP367:INDIRECT(ADDRESS(ROW($EP$403)-1,146)))</f>
        <v>20.02165901998606</v>
      </c>
      <c r="EQ403" s="233"/>
      <c r="ER403" s="233">
        <f ca="1">SUM(ER367:INDIRECT(ADDRESS(ROW($ER$403)-1,148)))</f>
        <v>3.4219725293828951</v>
      </c>
      <c r="ES403" s="233">
        <f ca="1">SUM(ES367:INDIRECT(ADDRESS(ROW($ES$403)-1,149)))</f>
        <v>6.7445678550518453</v>
      </c>
      <c r="ET403" s="233">
        <f ca="1">SUM(ET367:INDIRECT(ADDRESS(ROW($ET$403)-1,150)))</f>
        <v>10.16654038443474</v>
      </c>
      <c r="EU403" s="233">
        <f ca="1">SUM(EU367:INDIRECT(ADDRESS(ROW($EU$403)-1,151)))</f>
        <v>3401.1725149814979</v>
      </c>
      <c r="EV403" s="233">
        <f ca="1">SUM(EV367:INDIRECT(ADDRESS(ROW($EV$403)-1,152)))</f>
        <v>1470.9375540370008</v>
      </c>
      <c r="EW403" s="233">
        <f ca="1">SUM(EW367:INDIRECT(ADDRESS(ROW($EW$403)-1,153)))</f>
        <v>4872.1100690184994</v>
      </c>
    </row>
    <row r="404" spans="2:153" s="38" customFormat="1" ht="15.95" customHeight="1" x14ac:dyDescent="0.25">
      <c r="B404" s="235"/>
      <c r="C404" s="571" t="str">
        <f ca="1">IF(OR(($C$403-$C$414)&gt;0.01,($C$403-$C$414)&lt;-0.01,($D$403-$D$414)&gt;0.01,($D$403-$D$414)&lt;-0.01,($E$403-$E$414)&gt;0.01,($E$403-$E$414)&lt;-0.01,($EW$403-$E$414)&gt;0.01,($EW$403-$E$414)&lt;-0.01,($EU$404-$E$414)&gt;0.01,($EU$404-$E$414)&lt;-0.01),"FALTA ATUALIZAR A TABELA 09","")</f>
        <v/>
      </c>
      <c r="D404" s="572"/>
      <c r="E404" s="572"/>
      <c r="F404" s="573"/>
      <c r="G404" s="235"/>
      <c r="H404" s="491">
        <f ca="1">H403+I403</f>
        <v>223.60223199999965</v>
      </c>
      <c r="I404" s="491"/>
      <c r="J404" s="250"/>
      <c r="K404" s="251"/>
      <c r="L404" s="491">
        <f ca="1">L403+M403</f>
        <v>220.18025947061676</v>
      </c>
      <c r="M404" s="491"/>
      <c r="N404" s="250"/>
      <c r="O404" s="251"/>
      <c r="P404" s="491">
        <f ca="1">P403+Q403</f>
        <v>216.65015260930534</v>
      </c>
      <c r="Q404" s="491"/>
      <c r="R404" s="250"/>
      <c r="S404" s="251"/>
      <c r="T404" s="491">
        <f ca="1">T403+U403</f>
        <v>213.00849437117651</v>
      </c>
      <c r="U404" s="491"/>
      <c r="V404" s="250"/>
      <c r="W404" s="251"/>
      <c r="X404" s="491">
        <f ca="1">X403+Y403</f>
        <v>209.2517597327228</v>
      </c>
      <c r="Y404" s="491"/>
      <c r="Z404" s="250"/>
      <c r="AA404" s="251"/>
      <c r="AB404" s="491">
        <f ca="1">AB403+AC403</f>
        <v>205.37631227969396</v>
      </c>
      <c r="AC404" s="491"/>
      <c r="AD404" s="250"/>
      <c r="AE404" s="251"/>
      <c r="AF404" s="491">
        <f ca="1">AF403+AG403</f>
        <v>201.37840068714939</v>
      </c>
      <c r="AG404" s="491"/>
      <c r="AH404" s="250"/>
      <c r="AI404" s="251"/>
      <c r="AJ404" s="491">
        <f ca="1">AJ403+AK403</f>
        <v>197.25415508828041</v>
      </c>
      <c r="AK404" s="491"/>
      <c r="AL404" s="250"/>
      <c r="AM404" s="251"/>
      <c r="AN404" s="491">
        <f ca="1">AN403+AO403</f>
        <v>192.99958332848723</v>
      </c>
      <c r="AO404" s="491"/>
      <c r="AP404" s="250"/>
      <c r="AQ404" s="251"/>
      <c r="AR404" s="491">
        <f ca="1">AR403+AS403</f>
        <v>188.61056710108454</v>
      </c>
      <c r="AS404" s="491"/>
      <c r="AT404" s="250"/>
      <c r="AU404" s="251"/>
      <c r="AV404" s="491">
        <f ca="1">AV403+AW403</f>
        <v>184.08285796089592</v>
      </c>
      <c r="AW404" s="491"/>
      <c r="AX404" s="250"/>
      <c r="AY404" s="251"/>
      <c r="AZ404" s="491">
        <f ca="1">AZ403+BA403</f>
        <v>179.41207321187738</v>
      </c>
      <c r="BA404" s="491"/>
      <c r="BB404" s="250"/>
      <c r="BC404" s="251"/>
      <c r="BD404" s="491">
        <f ca="1">BD403+BE403</f>
        <v>174.59369166478982</v>
      </c>
      <c r="BE404" s="491"/>
      <c r="BF404" s="250"/>
      <c r="BG404" s="251"/>
      <c r="BH404" s="491">
        <f ca="1">BH403+BI403</f>
        <v>169.62304926081424</v>
      </c>
      <c r="BI404" s="491"/>
      <c r="BJ404" s="250"/>
      <c r="BK404" s="251"/>
      <c r="BL404" s="491">
        <f ca="1">BL403+BM403</f>
        <v>164.4953345568731</v>
      </c>
      <c r="BM404" s="491"/>
      <c r="BN404" s="250"/>
      <c r="BO404" s="251"/>
      <c r="BP404" s="491">
        <f ca="1">BP403+BQ403</f>
        <v>159.20558406828741</v>
      </c>
      <c r="BQ404" s="491"/>
      <c r="BR404" s="250"/>
      <c r="BS404" s="251"/>
      <c r="BT404" s="491">
        <f ca="1">BT403+BU403</f>
        <v>153.74867746426239</v>
      </c>
      <c r="BU404" s="491"/>
      <c r="BV404" s="250"/>
      <c r="BW404" s="251"/>
      <c r="BX404" s="491">
        <f ca="1">BX403+BY403</f>
        <v>148.11933261155016</v>
      </c>
      <c r="BY404" s="491"/>
      <c r="BZ404" s="250"/>
      <c r="CA404" s="251"/>
      <c r="CB404" s="491">
        <f ca="1">CB403+CC403</f>
        <v>142.31210046149226</v>
      </c>
      <c r="CC404" s="491"/>
      <c r="CD404" s="250"/>
      <c r="CE404" s="251"/>
      <c r="CF404" s="491">
        <f ca="1">CF403+CG403</f>
        <v>136.32135977549254</v>
      </c>
      <c r="CG404" s="491"/>
      <c r="CH404" s="250"/>
      <c r="CI404" s="251"/>
      <c r="CJ404" s="491">
        <f ca="1">CJ403+CK403</f>
        <v>130.14131168381522</v>
      </c>
      <c r="CK404" s="491"/>
      <c r="CL404" s="250"/>
      <c r="CM404" s="251"/>
      <c r="CN404" s="491">
        <f ca="1">CN403+CO403</f>
        <v>123.76597407244088</v>
      </c>
      <c r="CO404" s="491"/>
      <c r="CP404" s="250"/>
      <c r="CQ404" s="251"/>
      <c r="CR404" s="491">
        <f ca="1">CR403+CS403</f>
        <v>117.18917579254713</v>
      </c>
      <c r="CS404" s="491"/>
      <c r="CT404" s="250"/>
      <c r="CU404" s="251"/>
      <c r="CV404" s="491">
        <f ca="1">CV403+CW403</f>
        <v>110.40455068700874</v>
      </c>
      <c r="CW404" s="491"/>
      <c r="CX404" s="250"/>
      <c r="CY404" s="251"/>
      <c r="CZ404" s="491">
        <f ca="1">CZ403+DA403</f>
        <v>103.40553142813532</v>
      </c>
      <c r="DA404" s="491"/>
      <c r="DB404" s="250"/>
      <c r="DC404" s="251"/>
      <c r="DD404" s="491">
        <f ca="1">DD403+DE403</f>
        <v>96.185343160681526</v>
      </c>
      <c r="DE404" s="491"/>
      <c r="DF404" s="250"/>
      <c r="DG404" s="251"/>
      <c r="DH404" s="491">
        <f ca="1">DH403+DI403</f>
        <v>88.736996943976166</v>
      </c>
      <c r="DI404" s="491"/>
      <c r="DJ404" s="250"/>
      <c r="DK404" s="251"/>
      <c r="DL404" s="491">
        <f ca="1">DL403+DM403</f>
        <v>81.05328298682295</v>
      </c>
      <c r="DM404" s="491"/>
      <c r="DN404" s="250"/>
      <c r="DO404" s="251"/>
      <c r="DP404" s="491">
        <f ca="1">DP403+DQ403</f>
        <v>73.126763668623653</v>
      </c>
      <c r="DQ404" s="491"/>
      <c r="DR404" s="250"/>
      <c r="DS404" s="251"/>
      <c r="DT404" s="491">
        <f ca="1">DT403+DU403</f>
        <v>64.949766339969287</v>
      </c>
      <c r="DU404" s="491"/>
      <c r="DV404" s="250"/>
      <c r="DW404" s="251"/>
      <c r="DX404" s="491">
        <f ca="1">DX403+DY403</f>
        <v>56.51437589572943</v>
      </c>
      <c r="DY404" s="491"/>
      <c r="DZ404" s="250"/>
      <c r="EA404" s="251"/>
      <c r="EB404" s="491">
        <f ca="1">EB403+EC403</f>
        <v>47.812427113451605</v>
      </c>
      <c r="EC404" s="491"/>
      <c r="ED404" s="250"/>
      <c r="EE404" s="251"/>
      <c r="EF404" s="491">
        <f ca="1">EF403+EG403</f>
        <v>38.835496749653785</v>
      </c>
      <c r="EG404" s="491"/>
      <c r="EH404" s="250"/>
      <c r="EI404" s="251"/>
      <c r="EJ404" s="491">
        <f ca="1">EJ403+EK403</f>
        <v>29.574895386359966</v>
      </c>
      <c r="EK404" s="491"/>
      <c r="EL404" s="250"/>
      <c r="EM404" s="251"/>
      <c r="EN404" s="491">
        <f ca="1">EN403+EO403</f>
        <v>20.02165901998606</v>
      </c>
      <c r="EO404" s="491"/>
      <c r="EP404" s="250"/>
      <c r="EQ404" s="251"/>
      <c r="ER404" s="491">
        <f ca="1">ER403+ES403</f>
        <v>10.16654038443474</v>
      </c>
      <c r="ES404" s="491"/>
      <c r="ET404" s="252"/>
      <c r="EU404" s="491">
        <f ca="1">EU403+EV403</f>
        <v>4872.1100690184985</v>
      </c>
      <c r="EV404" s="491"/>
      <c r="EW404" s="235"/>
    </row>
    <row r="405" spans="2:153" s="38" customFormat="1" ht="15.95" customHeight="1" thickBot="1" x14ac:dyDescent="0.3">
      <c r="B405" s="40"/>
      <c r="C405" s="121"/>
      <c r="D405" s="121"/>
      <c r="E405" s="121"/>
      <c r="F405" s="121"/>
      <c r="G405" s="40"/>
      <c r="H405" s="131"/>
      <c r="I405" s="131"/>
      <c r="J405" s="40"/>
      <c r="K405" s="40"/>
      <c r="L405" s="131"/>
      <c r="M405" s="131"/>
      <c r="N405" s="40"/>
      <c r="O405" s="40"/>
      <c r="P405" s="131"/>
      <c r="Q405" s="131"/>
      <c r="R405" s="40"/>
      <c r="S405" s="40"/>
      <c r="T405" s="131"/>
      <c r="U405" s="131"/>
      <c r="V405" s="40"/>
      <c r="W405" s="40"/>
      <c r="X405" s="131"/>
      <c r="Y405" s="131"/>
      <c r="Z405" s="40"/>
      <c r="AA405" s="40"/>
      <c r="AB405" s="131"/>
      <c r="AC405" s="131"/>
      <c r="AD405" s="40"/>
      <c r="AE405" s="40"/>
      <c r="AF405" s="131"/>
      <c r="AG405" s="131"/>
      <c r="AH405" s="40"/>
      <c r="AI405" s="40"/>
      <c r="AJ405" s="131"/>
      <c r="AK405" s="131"/>
      <c r="AL405" s="40"/>
      <c r="AM405" s="40"/>
      <c r="AN405" s="131"/>
      <c r="AO405" s="131"/>
      <c r="AP405" s="40"/>
      <c r="AQ405" s="40"/>
      <c r="AR405" s="131"/>
      <c r="AS405" s="131"/>
      <c r="AT405" s="40"/>
      <c r="AU405" s="40"/>
      <c r="AV405" s="131"/>
      <c r="AW405" s="131"/>
      <c r="AX405" s="40"/>
      <c r="AY405" s="40"/>
      <c r="AZ405" s="131"/>
      <c r="BA405" s="131"/>
      <c r="BB405" s="40"/>
      <c r="BC405" s="40"/>
      <c r="BD405" s="131"/>
      <c r="BE405" s="131"/>
      <c r="BF405" s="40"/>
      <c r="BG405" s="40"/>
      <c r="BH405" s="131"/>
      <c r="BI405" s="131"/>
      <c r="BJ405" s="40"/>
      <c r="BK405" s="40"/>
      <c r="BL405" s="131"/>
      <c r="BM405" s="131"/>
      <c r="BN405" s="40"/>
      <c r="BO405" s="40"/>
      <c r="BP405" s="131"/>
      <c r="BQ405" s="131"/>
      <c r="BR405" s="40"/>
      <c r="BS405" s="40"/>
      <c r="BT405" s="131"/>
      <c r="BU405" s="131"/>
      <c r="BV405" s="40"/>
      <c r="BW405" s="40"/>
      <c r="BX405" s="131"/>
      <c r="BY405" s="131"/>
      <c r="BZ405" s="40"/>
      <c r="CA405" s="40"/>
      <c r="CB405" s="131"/>
      <c r="CC405" s="131"/>
      <c r="CD405" s="40"/>
      <c r="CE405" s="40"/>
      <c r="CF405" s="131"/>
      <c r="CG405" s="131"/>
      <c r="CH405" s="40"/>
      <c r="CI405" s="40"/>
      <c r="CJ405" s="131"/>
      <c r="CK405" s="131"/>
      <c r="CL405" s="40"/>
      <c r="CM405" s="40"/>
      <c r="CN405" s="131"/>
      <c r="CO405" s="131"/>
      <c r="CP405" s="40"/>
      <c r="CQ405" s="40"/>
      <c r="CR405" s="131"/>
      <c r="CS405" s="131"/>
      <c r="CT405" s="40"/>
      <c r="CU405" s="40"/>
      <c r="CV405" s="131"/>
      <c r="CW405" s="131"/>
      <c r="CX405" s="40"/>
      <c r="CY405" s="40"/>
      <c r="CZ405" s="131"/>
      <c r="DA405" s="131"/>
      <c r="DB405" s="40"/>
      <c r="DC405" s="40"/>
      <c r="DD405" s="131"/>
      <c r="DE405" s="131"/>
      <c r="DF405" s="40"/>
      <c r="DG405" s="40"/>
      <c r="DH405" s="131"/>
      <c r="DI405" s="131"/>
      <c r="DJ405" s="40"/>
      <c r="DK405" s="40"/>
      <c r="DL405" s="131"/>
      <c r="DM405" s="131"/>
      <c r="DN405" s="40"/>
      <c r="DO405" s="40"/>
      <c r="DP405" s="131"/>
      <c r="DQ405" s="131"/>
      <c r="DR405" s="40"/>
      <c r="DS405" s="40"/>
      <c r="DT405" s="131"/>
      <c r="DU405" s="131"/>
      <c r="DV405" s="40"/>
      <c r="DW405" s="40"/>
      <c r="DX405" s="131"/>
      <c r="DY405" s="131"/>
      <c r="DZ405" s="40"/>
      <c r="EA405" s="40"/>
      <c r="EB405" s="131"/>
      <c r="EC405" s="131"/>
      <c r="ED405" s="40"/>
      <c r="EE405" s="40"/>
      <c r="EF405" s="131"/>
      <c r="EG405" s="131"/>
      <c r="EH405" s="40"/>
      <c r="EI405" s="40"/>
      <c r="EJ405" s="131"/>
      <c r="EK405" s="131"/>
      <c r="EL405" s="40"/>
      <c r="EM405" s="40"/>
      <c r="EN405" s="131"/>
      <c r="EO405" s="131"/>
      <c r="EP405" s="40"/>
      <c r="EQ405" s="40"/>
      <c r="ER405" s="131"/>
      <c r="ES405" s="131"/>
      <c r="ET405" s="253"/>
      <c r="EU405" s="131"/>
      <c r="EV405" s="131"/>
      <c r="EW405" s="40"/>
    </row>
    <row r="406" spans="2:153" s="38" customFormat="1" ht="24.95" customHeight="1" x14ac:dyDescent="0.25">
      <c r="C406" s="215" t="s">
        <v>138</v>
      </c>
      <c r="D406" s="237"/>
      <c r="E406" s="237"/>
      <c r="F406" s="190"/>
      <c r="G406" s="190"/>
      <c r="H406" s="191"/>
    </row>
    <row r="407" spans="2:153" s="38" customFormat="1" ht="15.95" customHeight="1" x14ac:dyDescent="0.25">
      <c r="C407" s="192" t="s">
        <v>194</v>
      </c>
      <c r="D407" s="61"/>
      <c r="E407" s="61"/>
      <c r="F407" s="40"/>
      <c r="G407" s="40"/>
      <c r="H407" s="59"/>
      <c r="I407" s="38" t="s">
        <v>139</v>
      </c>
    </row>
    <row r="408" spans="2:153" s="38" customFormat="1" ht="15.95" customHeight="1" x14ac:dyDescent="0.25">
      <c r="C408" s="192" t="s">
        <v>195</v>
      </c>
      <c r="D408" s="61"/>
      <c r="E408" s="61"/>
      <c r="F408" s="40"/>
      <c r="G408" s="40"/>
      <c r="H408" s="59"/>
      <c r="I408" s="38" t="s">
        <v>139</v>
      </c>
    </row>
    <row r="409" spans="2:153" s="38" customFormat="1" ht="15.95" customHeight="1" x14ac:dyDescent="0.25">
      <c r="C409" s="192" t="s">
        <v>334</v>
      </c>
      <c r="D409" s="61"/>
      <c r="E409" s="61"/>
      <c r="F409" s="40"/>
      <c r="G409" s="40"/>
      <c r="H409" s="59"/>
      <c r="J409" s="204"/>
    </row>
    <row r="410" spans="2:153" s="38" customFormat="1" ht="15.95" customHeight="1" x14ac:dyDescent="0.25">
      <c r="C410" s="192" t="s">
        <v>330</v>
      </c>
      <c r="D410" s="61"/>
      <c r="E410" s="61"/>
      <c r="F410" s="40"/>
      <c r="G410" s="40"/>
      <c r="H410" s="59"/>
      <c r="J410" s="204"/>
    </row>
    <row r="411" spans="2:153" s="38" customFormat="1" ht="15.95" customHeight="1" x14ac:dyDescent="0.25">
      <c r="C411" s="192"/>
      <c r="D411" s="61"/>
      <c r="E411" s="61"/>
      <c r="F411" s="40"/>
      <c r="G411" s="40"/>
      <c r="H411" s="59"/>
    </row>
    <row r="412" spans="2:153" s="38" customFormat="1" ht="24.95" customHeight="1" x14ac:dyDescent="0.25">
      <c r="C412" s="392" t="s">
        <v>133</v>
      </c>
      <c r="D412" s="61"/>
      <c r="E412" s="61"/>
      <c r="F412" s="40"/>
      <c r="G412" s="40"/>
      <c r="H412" s="59"/>
    </row>
    <row r="413" spans="2:153" s="38" customFormat="1" ht="20.100000000000001" customHeight="1" x14ac:dyDescent="0.25">
      <c r="C413" s="224" t="s">
        <v>18</v>
      </c>
      <c r="D413" s="225" t="s">
        <v>24</v>
      </c>
      <c r="E413" s="225" t="s">
        <v>38</v>
      </c>
      <c r="F413" s="40"/>
      <c r="G413" s="40"/>
      <c r="H413" s="59"/>
    </row>
    <row r="414" spans="2:153" s="38" customFormat="1" ht="15.95" customHeight="1" thickBot="1" x14ac:dyDescent="0.3">
      <c r="C414" s="227">
        <f>'Os juros sobre juros'!$C$90</f>
        <v>11948.130069018489</v>
      </c>
      <c r="D414" s="228">
        <f>'Os juros sobre juros'!$D$90</f>
        <v>7076.02</v>
      </c>
      <c r="E414" s="228">
        <f>'Os juros sobre juros'!$E$90</f>
        <v>4872.1100690184885</v>
      </c>
      <c r="F414" s="196"/>
      <c r="G414" s="196"/>
      <c r="H414" s="197"/>
    </row>
    <row r="415" spans="2:153" s="38" customFormat="1" ht="15.95" customHeight="1" x14ac:dyDescent="0.25"/>
    <row r="416" spans="2:153" ht="24.95" customHeight="1" x14ac:dyDescent="0.25">
      <c r="B416" s="384" t="s">
        <v>207</v>
      </c>
    </row>
    <row r="417" spans="2:9" s="38" customFormat="1" ht="15.95" customHeight="1" x14ac:dyDescent="0.25">
      <c r="B417" s="38" t="s">
        <v>283</v>
      </c>
    </row>
    <row r="418" spans="2:9" s="38" customFormat="1" ht="15.95" customHeight="1" x14ac:dyDescent="0.25">
      <c r="B418" s="38" t="s">
        <v>696</v>
      </c>
    </row>
    <row r="419" spans="2:9" s="38" customFormat="1" ht="15.95" customHeight="1" x14ac:dyDescent="0.25">
      <c r="B419" s="38" t="s">
        <v>736</v>
      </c>
    </row>
    <row r="420" spans="2:9" s="38" customFormat="1" ht="15.95" customHeight="1" x14ac:dyDescent="0.25">
      <c r="B420" s="38" t="s">
        <v>740</v>
      </c>
    </row>
    <row r="421" spans="2:9" s="38" customFormat="1" ht="15.95" customHeight="1" x14ac:dyDescent="0.25"/>
    <row r="422" spans="2:9" s="38" customFormat="1" ht="15.95" customHeight="1" x14ac:dyDescent="0.25">
      <c r="B422" s="38" t="s">
        <v>704</v>
      </c>
      <c r="E422" s="125">
        <f ca="1">$E$403</f>
        <v>4872.1100690184994</v>
      </c>
      <c r="G422" s="125">
        <f ca="1">$EU$403</f>
        <v>3401.1725149814979</v>
      </c>
      <c r="I422" s="125">
        <f ca="1">$EV$403</f>
        <v>1470.9375540370008</v>
      </c>
    </row>
    <row r="423" spans="2:9" s="38" customFormat="1" ht="15.95" customHeight="1" x14ac:dyDescent="0.25">
      <c r="E423" s="255" t="s">
        <v>705</v>
      </c>
      <c r="G423" s="255" t="s">
        <v>25</v>
      </c>
      <c r="I423" s="38" t="s">
        <v>26</v>
      </c>
    </row>
    <row r="424" spans="2:9" s="38" customFormat="1" ht="15.95" customHeight="1" x14ac:dyDescent="0.25">
      <c r="B424" s="38" t="s">
        <v>208</v>
      </c>
    </row>
    <row r="425" spans="2:9" s="38" customFormat="1" ht="15.95" customHeight="1" x14ac:dyDescent="0.25">
      <c r="B425" s="38" t="s">
        <v>209</v>
      </c>
    </row>
    <row r="426" spans="2:9" s="38" customFormat="1" ht="15.95" customHeight="1" x14ac:dyDescent="0.25">
      <c r="B426" s="38" t="s">
        <v>210</v>
      </c>
    </row>
    <row r="427" spans="2:9" s="38" customFormat="1" ht="15.95" customHeight="1" x14ac:dyDescent="0.25">
      <c r="B427" s="38" t="s">
        <v>746</v>
      </c>
    </row>
    <row r="428" spans="2:9" s="38" customFormat="1" ht="15.95" customHeight="1" x14ac:dyDescent="0.25">
      <c r="B428" s="38" t="s">
        <v>747</v>
      </c>
    </row>
    <row r="429" spans="2:9" s="38" customFormat="1" ht="15.95" customHeight="1" x14ac:dyDescent="0.25">
      <c r="B429" s="38" t="s">
        <v>211</v>
      </c>
    </row>
    <row r="430" spans="2:9" s="38" customFormat="1" ht="15.95" customHeight="1" x14ac:dyDescent="0.25">
      <c r="B430" s="38" t="s">
        <v>212</v>
      </c>
    </row>
    <row r="431" spans="2:9" s="38" customFormat="1" ht="15.95" customHeight="1" x14ac:dyDescent="0.25">
      <c r="B431" s="38" t="s">
        <v>284</v>
      </c>
    </row>
    <row r="432" spans="2:9" s="38" customFormat="1" ht="15.95" customHeight="1" x14ac:dyDescent="0.25">
      <c r="B432" s="38" t="s">
        <v>673</v>
      </c>
    </row>
    <row r="433" spans="2:150" s="38" customFormat="1" ht="15.95" customHeight="1" x14ac:dyDescent="0.25">
      <c r="B433" s="38" t="s">
        <v>213</v>
      </c>
    </row>
    <row r="434" spans="2:150" s="38" customFormat="1" ht="15.95" customHeight="1" x14ac:dyDescent="0.25">
      <c r="C434" s="121"/>
      <c r="D434" s="130"/>
      <c r="E434" s="121"/>
      <c r="F434" s="121"/>
      <c r="H434" s="131"/>
      <c r="I434" s="131"/>
      <c r="L434" s="131"/>
      <c r="M434" s="131"/>
      <c r="P434" s="131"/>
      <c r="Q434" s="131"/>
      <c r="T434" s="131"/>
      <c r="U434" s="131"/>
      <c r="X434" s="131"/>
      <c r="Y434" s="131"/>
      <c r="AB434" s="131"/>
      <c r="AC434" s="131"/>
      <c r="AF434" s="131"/>
      <c r="AG434" s="131"/>
      <c r="AJ434" s="131"/>
      <c r="AK434" s="131"/>
      <c r="AN434" s="131"/>
      <c r="AO434" s="131"/>
      <c r="AR434" s="131"/>
      <c r="AS434" s="131"/>
      <c r="AV434" s="131"/>
      <c r="AW434" s="131"/>
      <c r="AZ434" s="131"/>
      <c r="BA434" s="131"/>
      <c r="BD434" s="131"/>
      <c r="BE434" s="131"/>
      <c r="BH434" s="131"/>
      <c r="BI434" s="131"/>
      <c r="BL434" s="131"/>
      <c r="BM434" s="131"/>
      <c r="BP434" s="131"/>
      <c r="BQ434" s="131"/>
      <c r="BT434" s="131"/>
      <c r="BU434" s="131"/>
      <c r="BX434" s="131"/>
      <c r="BY434" s="131"/>
      <c r="CB434" s="131"/>
      <c r="CC434" s="131"/>
      <c r="CF434" s="131"/>
      <c r="CG434" s="131"/>
      <c r="CJ434" s="131"/>
      <c r="CK434" s="131"/>
      <c r="CN434" s="131"/>
      <c r="CO434" s="131"/>
      <c r="CR434" s="131"/>
      <c r="CS434" s="131"/>
      <c r="CV434" s="131"/>
      <c r="CW434" s="131"/>
      <c r="CZ434" s="131"/>
      <c r="DA434" s="131"/>
      <c r="DD434" s="131"/>
      <c r="DE434" s="131"/>
      <c r="DH434" s="131"/>
      <c r="DI434" s="131"/>
      <c r="DL434" s="131"/>
      <c r="DM434" s="131"/>
      <c r="DP434" s="131"/>
      <c r="DQ434" s="131"/>
      <c r="DT434" s="131"/>
      <c r="DU434" s="131"/>
      <c r="DX434" s="131"/>
      <c r="DY434" s="131"/>
      <c r="EB434" s="131"/>
      <c r="EC434" s="131"/>
      <c r="EF434" s="131"/>
      <c r="EG434" s="131"/>
      <c r="EJ434" s="131"/>
      <c r="EK434" s="131"/>
      <c r="EN434" s="131"/>
      <c r="EO434" s="131"/>
      <c r="ER434" s="131"/>
      <c r="ES434" s="131"/>
      <c r="ET434" s="253"/>
    </row>
    <row r="435" spans="2:150" ht="24.95" customHeight="1" x14ac:dyDescent="0.25">
      <c r="B435" s="384" t="s">
        <v>76</v>
      </c>
      <c r="C435" s="24"/>
      <c r="D435" s="24"/>
      <c r="E435" s="24"/>
      <c r="F435" s="23"/>
    </row>
    <row r="436" spans="2:150" s="38" customFormat="1" ht="15.95" customHeight="1" x14ac:dyDescent="0.25">
      <c r="B436" s="38" t="s">
        <v>77</v>
      </c>
    </row>
    <row r="437" spans="2:150" s="38" customFormat="1" ht="15.95" customHeight="1" x14ac:dyDescent="0.25">
      <c r="B437" s="38" t="s">
        <v>84</v>
      </c>
    </row>
    <row r="438" spans="2:150" s="38" customFormat="1" ht="15.95" customHeight="1" x14ac:dyDescent="0.25">
      <c r="C438" s="254" t="s">
        <v>25</v>
      </c>
      <c r="D438" s="130"/>
    </row>
    <row r="439" spans="2:150" s="38" customFormat="1" ht="15.95" customHeight="1" x14ac:dyDescent="0.25">
      <c r="C439" s="568" t="s">
        <v>143</v>
      </c>
      <c r="D439" s="568"/>
      <c r="E439" s="125">
        <f>$D$367</f>
        <v>321.72596153274549</v>
      </c>
      <c r="F439" s="257" t="s">
        <v>141</v>
      </c>
    </row>
    <row r="440" spans="2:150" s="38" customFormat="1" ht="15.95" customHeight="1" x14ac:dyDescent="0.25">
      <c r="C440" s="25" t="s">
        <v>153</v>
      </c>
      <c r="D440" s="130"/>
      <c r="E440" s="125">
        <f>$H$367</f>
        <v>10.166540384434759</v>
      </c>
      <c r="F440" s="257" t="s">
        <v>154</v>
      </c>
      <c r="J440" s="140">
        <f>'Os juros sobre juros'!$E$32</f>
        <v>3.1600000000000003E-2</v>
      </c>
      <c r="K440" s="255"/>
      <c r="L440" s="125">
        <f>$D$367</f>
        <v>321.72596153274549</v>
      </c>
      <c r="M440" s="130"/>
      <c r="N440" s="130"/>
      <c r="O440" s="130"/>
      <c r="P440" s="130"/>
      <c r="Q440" s="130"/>
      <c r="R440" s="130"/>
      <c r="S440" s="130"/>
    </row>
    <row r="441" spans="2:150" s="38" customFormat="1" ht="15.95" customHeight="1" x14ac:dyDescent="0.25">
      <c r="C441" s="25"/>
      <c r="D441" s="130"/>
    </row>
    <row r="442" spans="2:150" s="38" customFormat="1" ht="15.95" customHeight="1" x14ac:dyDescent="0.25">
      <c r="C442" s="568" t="s">
        <v>160</v>
      </c>
      <c r="D442" s="568"/>
      <c r="E442" s="125">
        <f>$J$367</f>
        <v>10.166540384434759</v>
      </c>
    </row>
    <row r="443" spans="2:150" s="38" customFormat="1" ht="15.95" customHeight="1" x14ac:dyDescent="0.25">
      <c r="C443" s="25"/>
      <c r="D443" s="25"/>
      <c r="E443" s="130"/>
    </row>
    <row r="444" spans="2:150" s="38" customFormat="1" ht="15.95" customHeight="1" x14ac:dyDescent="0.25">
      <c r="B444" s="38" t="s">
        <v>163</v>
      </c>
      <c r="C444" s="25"/>
      <c r="D444" s="25"/>
      <c r="E444" s="125">
        <f>$E$367</f>
        <v>10.166540384434768</v>
      </c>
      <c r="F444" s="257" t="s">
        <v>164</v>
      </c>
      <c r="J444" s="125">
        <f>$H$367</f>
        <v>10.166540384434759</v>
      </c>
      <c r="K444" s="257" t="s">
        <v>165</v>
      </c>
    </row>
    <row r="445" spans="2:150" s="38" customFormat="1" ht="15.95" customHeight="1" x14ac:dyDescent="0.25"/>
    <row r="446" spans="2:150" s="38" customFormat="1" ht="15.95" customHeight="1" x14ac:dyDescent="0.25">
      <c r="B446" s="38" t="s">
        <v>78</v>
      </c>
    </row>
    <row r="447" spans="2:150" s="38" customFormat="1" ht="15.95" customHeight="1" x14ac:dyDescent="0.25">
      <c r="B447" s="38" t="s">
        <v>84</v>
      </c>
      <c r="C447" s="121"/>
      <c r="D447" s="130"/>
      <c r="E447" s="121"/>
      <c r="F447" s="121"/>
      <c r="G447" s="122"/>
      <c r="H447" s="121"/>
      <c r="I447" s="130"/>
    </row>
    <row r="448" spans="2:150" s="38" customFormat="1" ht="15.95" customHeight="1" x14ac:dyDescent="0.25">
      <c r="C448" s="254" t="s">
        <v>25</v>
      </c>
      <c r="D448" s="130"/>
      <c r="E448" s="121"/>
      <c r="F448" s="121"/>
      <c r="G448" s="122"/>
      <c r="H448" s="121"/>
      <c r="I448" s="130"/>
    </row>
    <row r="449" spans="2:19" s="38" customFormat="1" ht="15.95" customHeight="1" x14ac:dyDescent="0.25">
      <c r="C449" s="568" t="s">
        <v>143</v>
      </c>
      <c r="D449" s="568"/>
      <c r="E449" s="125">
        <f>$D$368</f>
        <v>311.87084289719411</v>
      </c>
      <c r="F449" s="257" t="s">
        <v>142</v>
      </c>
      <c r="G449" s="122"/>
      <c r="H449" s="121"/>
      <c r="I449" s="130"/>
    </row>
    <row r="450" spans="2:19" s="38" customFormat="1" ht="15.95" customHeight="1" x14ac:dyDescent="0.25">
      <c r="C450" s="25" t="s">
        <v>153</v>
      </c>
      <c r="D450" s="130"/>
      <c r="E450" s="125">
        <f>$H$368</f>
        <v>9.8551186355513352</v>
      </c>
      <c r="F450" s="257" t="s">
        <v>154</v>
      </c>
      <c r="G450" s="122"/>
      <c r="H450" s="121"/>
      <c r="I450" s="130"/>
      <c r="J450" s="140">
        <f>'Os juros sobre juros'!$E$32</f>
        <v>3.1600000000000003E-2</v>
      </c>
      <c r="K450" s="255"/>
      <c r="L450" s="125">
        <f>$D$368</f>
        <v>311.87084289719411</v>
      </c>
      <c r="M450" s="130"/>
      <c r="N450" s="130"/>
      <c r="O450" s="130"/>
      <c r="P450" s="130"/>
      <c r="Q450" s="130"/>
      <c r="R450" s="130"/>
      <c r="S450" s="130"/>
    </row>
    <row r="451" spans="2:19" s="38" customFormat="1" ht="15.95" customHeight="1" x14ac:dyDescent="0.25">
      <c r="C451" s="121"/>
      <c r="D451" s="130"/>
      <c r="E451" s="121"/>
      <c r="F451" s="121"/>
      <c r="G451" s="122"/>
      <c r="H451" s="121"/>
      <c r="I451" s="130"/>
    </row>
    <row r="452" spans="2:19" s="38" customFormat="1" ht="15.95" customHeight="1" x14ac:dyDescent="0.25">
      <c r="B452" s="38" t="s">
        <v>86</v>
      </c>
      <c r="C452" s="121"/>
      <c r="D452" s="130"/>
      <c r="E452" s="121"/>
      <c r="F452" s="121"/>
      <c r="G452" s="122"/>
      <c r="H452" s="121"/>
      <c r="I452" s="130"/>
    </row>
    <row r="453" spans="2:19" s="38" customFormat="1" ht="15.95" customHeight="1" x14ac:dyDescent="0.25">
      <c r="C453" s="254" t="s">
        <v>25</v>
      </c>
      <c r="D453" s="130"/>
      <c r="E453" s="121"/>
      <c r="F453" s="121"/>
      <c r="G453" s="122"/>
      <c r="H453" s="121"/>
      <c r="I453" s="130"/>
    </row>
    <row r="454" spans="2:19" s="38" customFormat="1" ht="15.95" customHeight="1" x14ac:dyDescent="0.25">
      <c r="C454" s="568" t="s">
        <v>147</v>
      </c>
      <c r="D454" s="568"/>
      <c r="E454" s="125">
        <f>$D$368</f>
        <v>311.87084289719411</v>
      </c>
      <c r="F454" s="257" t="s">
        <v>162</v>
      </c>
      <c r="G454" s="122"/>
      <c r="H454" s="121"/>
      <c r="I454" s="130"/>
    </row>
    <row r="455" spans="2:19" s="38" customFormat="1" ht="15.95" customHeight="1" x14ac:dyDescent="0.25">
      <c r="C455" s="25" t="s">
        <v>155</v>
      </c>
      <c r="D455" s="130"/>
      <c r="E455" s="125">
        <f>$L$368</f>
        <v>9.8551186355513352</v>
      </c>
      <c r="F455" s="257" t="s">
        <v>154</v>
      </c>
      <c r="G455" s="122"/>
      <c r="H455" s="121"/>
      <c r="I455" s="130"/>
      <c r="J455" s="140">
        <f>'Os juros sobre juros'!$E$32</f>
        <v>3.1600000000000003E-2</v>
      </c>
      <c r="K455" s="255"/>
      <c r="L455" s="125">
        <f>$D$368</f>
        <v>311.87084289719411</v>
      </c>
      <c r="M455" s="130"/>
      <c r="N455" s="130"/>
      <c r="O455" s="130"/>
      <c r="P455" s="130"/>
      <c r="Q455" s="130"/>
      <c r="R455" s="130"/>
      <c r="S455" s="130"/>
    </row>
    <row r="456" spans="2:19" s="38" customFormat="1" ht="15.95" customHeight="1" x14ac:dyDescent="0.25">
      <c r="D456" s="130"/>
      <c r="E456" s="121"/>
      <c r="F456" s="121"/>
      <c r="G456" s="122"/>
      <c r="H456" s="121"/>
      <c r="I456" s="130"/>
    </row>
    <row r="457" spans="2:19" s="38" customFormat="1" ht="15.95" customHeight="1" x14ac:dyDescent="0.25">
      <c r="C457" s="254" t="s">
        <v>26</v>
      </c>
      <c r="D457" s="130"/>
      <c r="E457" s="121"/>
      <c r="F457" s="121"/>
      <c r="G457" s="122"/>
      <c r="H457" s="121"/>
      <c r="I457" s="130"/>
    </row>
    <row r="458" spans="2:19" s="38" customFormat="1" ht="15.95" customHeight="1" x14ac:dyDescent="0.25">
      <c r="C458" s="568" t="s">
        <v>564</v>
      </c>
      <c r="D458" s="568"/>
      <c r="E458" s="125">
        <f>$K$368</f>
        <v>9.8551186355513352</v>
      </c>
      <c r="F458" s="257" t="s">
        <v>156</v>
      </c>
      <c r="G458" s="122"/>
      <c r="H458" s="121"/>
      <c r="I458" s="130"/>
    </row>
    <row r="459" spans="2:19" s="38" customFormat="1" ht="15.95" customHeight="1" x14ac:dyDescent="0.25">
      <c r="C459" s="25" t="s">
        <v>157</v>
      </c>
      <c r="D459" s="130"/>
      <c r="E459" s="125">
        <f>$M$368</f>
        <v>0.31142174888342222</v>
      </c>
      <c r="F459" s="257" t="s">
        <v>154</v>
      </c>
      <c r="G459" s="122"/>
      <c r="H459" s="121"/>
      <c r="I459" s="130"/>
      <c r="J459" s="140">
        <f>'Os juros sobre juros'!$E$32</f>
        <v>3.1600000000000003E-2</v>
      </c>
      <c r="K459" s="255"/>
      <c r="L459" s="125">
        <f>$K$368</f>
        <v>9.8551186355513352</v>
      </c>
      <c r="M459" s="130"/>
      <c r="N459" s="130"/>
      <c r="O459" s="130"/>
      <c r="P459" s="130"/>
      <c r="Q459" s="130"/>
      <c r="R459" s="130"/>
      <c r="S459" s="130"/>
    </row>
    <row r="460" spans="2:19" s="38" customFormat="1" ht="15.95" customHeight="1" x14ac:dyDescent="0.25">
      <c r="C460" s="121"/>
      <c r="D460" s="130"/>
      <c r="E460" s="121"/>
      <c r="F460" s="121"/>
      <c r="G460" s="122"/>
      <c r="H460" s="121"/>
      <c r="I460" s="130"/>
    </row>
    <row r="461" spans="2:19" s="38" customFormat="1" ht="15.95" customHeight="1" x14ac:dyDescent="0.25">
      <c r="C461" s="568" t="s">
        <v>158</v>
      </c>
      <c r="D461" s="568"/>
      <c r="E461" s="125">
        <f>$N$368</f>
        <v>10.166540384434757</v>
      </c>
      <c r="F461" s="257" t="s">
        <v>159</v>
      </c>
      <c r="G461" s="122"/>
      <c r="H461" s="121"/>
      <c r="I461" s="130"/>
      <c r="J461" s="125">
        <f>$L$368</f>
        <v>9.8551186355513352</v>
      </c>
      <c r="K461" s="256"/>
      <c r="L461" s="125">
        <f>$M$368</f>
        <v>0.31142174888342222</v>
      </c>
      <c r="M461" s="130"/>
      <c r="N461" s="130"/>
      <c r="O461" s="130"/>
      <c r="P461" s="130"/>
      <c r="Q461" s="130"/>
      <c r="R461" s="130"/>
      <c r="S461" s="130"/>
    </row>
    <row r="462" spans="2:19" s="38" customFormat="1" ht="15.95" customHeight="1" x14ac:dyDescent="0.25">
      <c r="C462" s="25"/>
      <c r="D462" s="25"/>
      <c r="E462" s="130"/>
    </row>
    <row r="463" spans="2:19" s="38" customFormat="1" ht="15.95" customHeight="1" x14ac:dyDescent="0.25">
      <c r="B463" s="38" t="s">
        <v>166</v>
      </c>
      <c r="C463" s="25"/>
      <c r="D463" s="25"/>
      <c r="E463" s="125">
        <f>$E$368</f>
        <v>20.021659019986146</v>
      </c>
      <c r="F463" s="257" t="s">
        <v>565</v>
      </c>
      <c r="J463" s="125">
        <f>$H$368+$L$368</f>
        <v>19.71023727110267</v>
      </c>
      <c r="K463" s="25"/>
      <c r="L463" s="125">
        <f>$H$368</f>
        <v>9.8551186355513352</v>
      </c>
      <c r="N463" s="125">
        <f>$L$368</f>
        <v>9.8551186355513352</v>
      </c>
    </row>
    <row r="464" spans="2:19" s="38" customFormat="1" ht="15.95" customHeight="1" x14ac:dyDescent="0.25">
      <c r="C464" s="25"/>
      <c r="D464" s="25"/>
      <c r="E464" s="130"/>
      <c r="F464" s="257" t="s">
        <v>566</v>
      </c>
      <c r="J464" s="125">
        <f>$I$368+$M$368</f>
        <v>0.31142174888342222</v>
      </c>
      <c r="K464" s="25"/>
      <c r="L464" s="125">
        <f>$I$368</f>
        <v>0</v>
      </c>
      <c r="N464" s="125">
        <f>$M$368</f>
        <v>0.31142174888342222</v>
      </c>
    </row>
    <row r="465" spans="1:22" s="38" customFormat="1" ht="15.95" customHeight="1" x14ac:dyDescent="0.25">
      <c r="L465" s="255" t="s">
        <v>567</v>
      </c>
      <c r="N465" s="255" t="s">
        <v>568</v>
      </c>
    </row>
    <row r="466" spans="1:22" s="38" customFormat="1" ht="15.95" customHeight="1" x14ac:dyDescent="0.25">
      <c r="B466" s="38" t="s">
        <v>150</v>
      </c>
    </row>
    <row r="467" spans="1:22" s="38" customFormat="1" ht="15.95" customHeight="1" x14ac:dyDescent="0.25"/>
    <row r="468" spans="1:22" s="43" customFormat="1" ht="24.95" customHeight="1" x14ac:dyDescent="0.25">
      <c r="A468" s="378" t="s">
        <v>877</v>
      </c>
    </row>
    <row r="469" spans="1:22" s="38" customFormat="1" ht="15.95" customHeight="1" x14ac:dyDescent="0.25">
      <c r="B469" s="38" t="s">
        <v>584</v>
      </c>
    </row>
    <row r="470" spans="1:22" s="38" customFormat="1" ht="15.95" customHeight="1" x14ac:dyDescent="0.25">
      <c r="B470" s="38" t="s">
        <v>585</v>
      </c>
    </row>
    <row r="471" spans="1:22" s="38" customFormat="1" ht="15.95" customHeight="1" x14ac:dyDescent="0.25">
      <c r="B471" s="38" t="s">
        <v>586</v>
      </c>
    </row>
    <row r="472" spans="1:22" s="38" customFormat="1" ht="15.95" customHeight="1" x14ac:dyDescent="0.25">
      <c r="B472" s="38" t="s">
        <v>587</v>
      </c>
    </row>
    <row r="473" spans="1:22" s="38" customFormat="1" ht="15.95" customHeight="1" x14ac:dyDescent="0.25">
      <c r="B473" s="38" t="s">
        <v>589</v>
      </c>
    </row>
    <row r="474" spans="1:22" s="38" customFormat="1" ht="15.95" customHeight="1" x14ac:dyDescent="0.25">
      <c r="B474" s="38" t="s">
        <v>588</v>
      </c>
    </row>
    <row r="475" spans="1:22" s="38" customFormat="1" ht="15.95" customHeight="1" x14ac:dyDescent="0.25"/>
    <row r="476" spans="1:22" s="38" customFormat="1" ht="24.95" customHeight="1" x14ac:dyDescent="0.25">
      <c r="B476" s="390" t="s">
        <v>131</v>
      </c>
    </row>
    <row r="477" spans="1:22" s="38" customFormat="1" ht="20.100000000000001" customHeight="1" x14ac:dyDescent="0.25">
      <c r="B477" s="521" t="s">
        <v>19</v>
      </c>
      <c r="C477" s="524" t="s">
        <v>318</v>
      </c>
      <c r="D477" s="525"/>
      <c r="E477" s="525"/>
      <c r="F477" s="526"/>
      <c r="G477" s="524" t="s">
        <v>319</v>
      </c>
      <c r="H477" s="525"/>
      <c r="I477" s="525"/>
      <c r="J477" s="526"/>
      <c r="K477" s="40"/>
      <c r="L477" s="131"/>
      <c r="M477" s="131"/>
      <c r="N477" s="40"/>
      <c r="O477" s="40"/>
      <c r="P477" s="131"/>
      <c r="Q477" s="131"/>
      <c r="R477" s="40"/>
      <c r="S477" s="40"/>
      <c r="T477" s="131"/>
      <c r="U477" s="131"/>
      <c r="V477" s="40"/>
    </row>
    <row r="478" spans="1:22" s="38" customFormat="1" ht="20.100000000000001" customHeight="1" x14ac:dyDescent="0.25">
      <c r="B478" s="522"/>
      <c r="C478" s="523" t="s">
        <v>31</v>
      </c>
      <c r="D478" s="523"/>
      <c r="E478" s="523"/>
      <c r="F478" s="523"/>
      <c r="G478" s="485" t="s">
        <v>152</v>
      </c>
      <c r="H478" s="485"/>
      <c r="I478" s="485"/>
      <c r="J478" s="485"/>
      <c r="K478" s="40"/>
      <c r="L478" s="131"/>
      <c r="M478" s="131"/>
      <c r="N478" s="40"/>
      <c r="O478" s="40"/>
      <c r="P478" s="131"/>
      <c r="Q478" s="131"/>
      <c r="R478" s="40"/>
      <c r="S478" s="40"/>
      <c r="T478" s="131"/>
      <c r="U478" s="131"/>
      <c r="V478" s="40"/>
    </row>
    <row r="479" spans="1:22" s="38" customFormat="1" ht="20.100000000000001" customHeight="1" x14ac:dyDescent="0.25">
      <c r="B479" s="523"/>
      <c r="C479" s="103" t="s">
        <v>17</v>
      </c>
      <c r="D479" s="108" t="s">
        <v>20</v>
      </c>
      <c r="E479" s="103" t="s">
        <v>35</v>
      </c>
      <c r="F479" s="103" t="s">
        <v>22</v>
      </c>
      <c r="G479" s="106" t="s">
        <v>25</v>
      </c>
      <c r="H479" s="105" t="s">
        <v>22</v>
      </c>
      <c r="I479" s="106" t="s">
        <v>26</v>
      </c>
      <c r="J479" s="105" t="s">
        <v>22</v>
      </c>
      <c r="K479" s="40"/>
      <c r="L479" s="131"/>
      <c r="M479" s="131"/>
      <c r="N479" s="40"/>
      <c r="O479" s="40"/>
      <c r="P479" s="131"/>
      <c r="Q479" s="131"/>
      <c r="R479" s="40"/>
      <c r="S479" s="40"/>
      <c r="T479" s="131"/>
      <c r="U479" s="131"/>
      <c r="V479" s="40"/>
    </row>
    <row r="480" spans="1:22" s="38" customFormat="1" ht="15.95" customHeight="1" x14ac:dyDescent="0.25">
      <c r="B480" s="98">
        <f>$B$111</f>
        <v>1</v>
      </c>
      <c r="C480" s="125">
        <f>$C$111</f>
        <v>331.89250191718025</v>
      </c>
      <c r="D480" s="125">
        <f>$D$111</f>
        <v>321.72596153274549</v>
      </c>
      <c r="E480" s="125">
        <f>$E$111</f>
        <v>10.166540384434768</v>
      </c>
      <c r="F480" s="140">
        <f>$F$111</f>
        <v>3.1600000000000031E-2</v>
      </c>
      <c r="G480" s="125">
        <f>$G$111</f>
        <v>10.166540384434759</v>
      </c>
      <c r="H480" s="140">
        <f>$H$111</f>
        <v>3.1600000000000003E-2</v>
      </c>
      <c r="I480" s="125">
        <f>$I$111</f>
        <v>0</v>
      </c>
      <c r="J480" s="140">
        <f>$J$111</f>
        <v>0</v>
      </c>
      <c r="K480" s="40"/>
      <c r="L480" s="131"/>
      <c r="M480" s="131"/>
      <c r="N480" s="40"/>
      <c r="O480" s="40"/>
      <c r="P480" s="131"/>
      <c r="Q480" s="131"/>
      <c r="R480" s="40"/>
      <c r="S480" s="40"/>
      <c r="T480" s="131"/>
      <c r="U480" s="131"/>
      <c r="V480" s="40"/>
    </row>
    <row r="481" spans="2:22" s="38" customFormat="1" ht="15.95" customHeight="1" x14ac:dyDescent="0.25">
      <c r="B481" s="132">
        <f>$B$112</f>
        <v>2</v>
      </c>
      <c r="C481" s="125">
        <f>$C$112</f>
        <v>331.89250191718025</v>
      </c>
      <c r="D481" s="125">
        <f>$D$112</f>
        <v>311.87084289719411</v>
      </c>
      <c r="E481" s="125">
        <f>$E$112</f>
        <v>20.021659019986146</v>
      </c>
      <c r="F481" s="140">
        <f>$F$112</f>
        <v>6.4198560000000182E-2</v>
      </c>
      <c r="G481" s="125">
        <f>$G$112</f>
        <v>19.71023727110267</v>
      </c>
      <c r="H481" s="140">
        <f>$H$112</f>
        <v>6.3200000000000006E-2</v>
      </c>
      <c r="I481" s="125">
        <f>$I$112</f>
        <v>0.3114217488834754</v>
      </c>
      <c r="J481" s="140">
        <f>$J$112</f>
        <v>9.9856000000017077E-4</v>
      </c>
      <c r="L481" s="131"/>
      <c r="M481" s="131"/>
      <c r="N481" s="40"/>
      <c r="O481" s="40"/>
      <c r="P481" s="131"/>
      <c r="Q481" s="131"/>
      <c r="R481" s="40"/>
      <c r="S481" s="40"/>
      <c r="T481" s="131"/>
      <c r="U481" s="131"/>
      <c r="V481" s="40"/>
    </row>
    <row r="482" spans="2:22" s="38" customFormat="1" ht="15.95" customHeight="1" x14ac:dyDescent="0.25">
      <c r="B482" s="132">
        <f>$B$113</f>
        <v>3</v>
      </c>
      <c r="C482" s="125">
        <f>$C$113</f>
        <v>331.89250191718025</v>
      </c>
      <c r="D482" s="125">
        <f>$D$113</f>
        <v>302.31760653082017</v>
      </c>
      <c r="E482" s="125">
        <f>$E$113</f>
        <v>29.574895386360083</v>
      </c>
      <c r="F482" s="140">
        <f>$F$113</f>
        <v>9.7827234496000254E-2</v>
      </c>
      <c r="G482" s="125">
        <f>$G$113</f>
        <v>28.659709099121756</v>
      </c>
      <c r="H482" s="140">
        <f>$H$113</f>
        <v>9.4800000000000009E-2</v>
      </c>
      <c r="I482" s="125">
        <f>$I$113</f>
        <v>0.91518628723832762</v>
      </c>
      <c r="J482" s="140">
        <f>$J$113</f>
        <v>3.0272344960002445E-3</v>
      </c>
      <c r="K482" s="40"/>
      <c r="L482" s="131"/>
      <c r="M482" s="131"/>
      <c r="N482" s="40"/>
      <c r="O482" s="40"/>
      <c r="P482" s="131"/>
      <c r="Q482" s="131"/>
      <c r="R482" s="40"/>
      <c r="S482" s="40"/>
      <c r="T482" s="131"/>
      <c r="U482" s="131"/>
      <c r="V482" s="40"/>
    </row>
    <row r="483" spans="2:22" s="38" customFormat="1" ht="15.95" customHeight="1" x14ac:dyDescent="0.25">
      <c r="B483" s="132" t="s">
        <v>307</v>
      </c>
      <c r="C483" s="125" t="s">
        <v>307</v>
      </c>
      <c r="D483" s="125" t="s">
        <v>307</v>
      </c>
      <c r="E483" s="125" t="s">
        <v>307</v>
      </c>
      <c r="F483" s="125" t="s">
        <v>307</v>
      </c>
      <c r="G483" s="125" t="s">
        <v>307</v>
      </c>
      <c r="H483" s="125" t="s">
        <v>307</v>
      </c>
      <c r="I483" s="125" t="s">
        <v>307</v>
      </c>
      <c r="J483" s="125" t="s">
        <v>307</v>
      </c>
      <c r="K483" s="40"/>
      <c r="L483" s="131"/>
      <c r="M483" s="131"/>
      <c r="N483" s="40"/>
      <c r="O483" s="40"/>
      <c r="P483" s="131"/>
      <c r="Q483" s="131"/>
      <c r="R483" s="40"/>
      <c r="S483" s="40"/>
      <c r="T483" s="131"/>
      <c r="U483" s="131"/>
      <c r="V483" s="40"/>
    </row>
    <row r="484" spans="2:22" s="38" customFormat="1" ht="15.95" customHeight="1" x14ac:dyDescent="0.25">
      <c r="B484" s="132">
        <f>$B$122</f>
        <v>12</v>
      </c>
      <c r="C484" s="125">
        <f>$C$122</f>
        <v>331.89250191718025</v>
      </c>
      <c r="D484" s="125">
        <f>$D$122</f>
        <v>228.48697048904467</v>
      </c>
      <c r="E484" s="125">
        <f>$E$122</f>
        <v>103.40553142813559</v>
      </c>
      <c r="F484" s="140">
        <f>$F$122</f>
        <v>0.45256642515242945</v>
      </c>
      <c r="G484" s="125">
        <f>$G$122</f>
        <v>86.64225920944574</v>
      </c>
      <c r="H484" s="140">
        <f>$H$122</f>
        <v>0.37920000000000004</v>
      </c>
      <c r="I484" s="125">
        <f>$I$122</f>
        <v>16.763272218689849</v>
      </c>
      <c r="J484" s="140">
        <f>$J$122</f>
        <v>7.3366425152429443E-2</v>
      </c>
      <c r="K484" s="40"/>
      <c r="L484" s="131"/>
      <c r="M484" s="131"/>
      <c r="N484" s="40"/>
      <c r="O484" s="40"/>
      <c r="P484" s="131"/>
      <c r="Q484" s="131"/>
      <c r="R484" s="40"/>
      <c r="S484" s="40"/>
      <c r="T484" s="131"/>
      <c r="U484" s="131"/>
      <c r="V484" s="40"/>
    </row>
    <row r="485" spans="2:22" s="38" customFormat="1" ht="15.95" customHeight="1" x14ac:dyDescent="0.25">
      <c r="B485" s="132" t="s">
        <v>307</v>
      </c>
      <c r="C485" s="125" t="s">
        <v>307</v>
      </c>
      <c r="D485" s="125" t="s">
        <v>307</v>
      </c>
      <c r="E485" s="125" t="s">
        <v>307</v>
      </c>
      <c r="F485" s="125" t="s">
        <v>307</v>
      </c>
      <c r="G485" s="125" t="s">
        <v>307</v>
      </c>
      <c r="H485" s="125" t="s">
        <v>307</v>
      </c>
      <c r="I485" s="125" t="s">
        <v>307</v>
      </c>
      <c r="J485" s="125" t="s">
        <v>307</v>
      </c>
      <c r="K485" s="40"/>
      <c r="L485" s="131"/>
      <c r="M485" s="131"/>
      <c r="N485" s="40"/>
      <c r="O485" s="40"/>
      <c r="P485" s="131"/>
      <c r="Q485" s="131"/>
      <c r="R485" s="40"/>
      <c r="S485" s="40"/>
      <c r="T485" s="131"/>
      <c r="U485" s="131"/>
      <c r="V485" s="40"/>
    </row>
    <row r="486" spans="2:22" s="38" customFormat="1" ht="15.95" customHeight="1" x14ac:dyDescent="0.25">
      <c r="B486" s="132">
        <f ca="1">INDIRECT(ADDRESS((ROW($B$147)-1),2,,,))</f>
        <v>36</v>
      </c>
      <c r="C486" s="125">
        <f ca="1">INDIRECT(ADDRESS((ROW($C$147)-1),3,,,))</f>
        <v>331.89250191718025</v>
      </c>
      <c r="D486" s="125">
        <f ca="1">INDIRECT(ADDRESS((ROW($D$147)-1),4,,,))</f>
        <v>108.29026991718021</v>
      </c>
      <c r="E486" s="125">
        <f ca="1">INDIRECT(ADDRESS((ROW($E$147)-1),5,,,))</f>
        <v>223.60223200000004</v>
      </c>
      <c r="F486" s="140">
        <f ca="1">INDIRECT(ADDRESS((ROW($F$147)-1),6,,,))</f>
        <v>2.0648413949933802</v>
      </c>
      <c r="G486" s="125">
        <f ca="1">INDIRECT(ADDRESS((ROW($G$147)-1),7,,,))</f>
        <v>123.19101105778422</v>
      </c>
      <c r="H486" s="140">
        <f ca="1">INDIRECT(ADDRESS((ROW($H$147)-1),8,,,))</f>
        <v>1.1376000000000002</v>
      </c>
      <c r="I486" s="125">
        <f ca="1">INDIRECT(ADDRESS((ROW($I$147)-1),9,,,))</f>
        <v>100.41122094221582</v>
      </c>
      <c r="J486" s="140">
        <f ca="1">INDIRECT(ADDRESS((ROW($J$147)-1),10,,,))</f>
        <v>0.92724139499337987</v>
      </c>
      <c r="L486" s="131"/>
      <c r="M486" s="131"/>
      <c r="N486" s="40"/>
      <c r="O486" s="40"/>
      <c r="P486" s="131"/>
      <c r="Q486" s="131"/>
      <c r="R486" s="40"/>
      <c r="S486" s="40"/>
      <c r="T486" s="131"/>
      <c r="U486" s="131"/>
      <c r="V486" s="40"/>
    </row>
    <row r="487" spans="2:22" s="38" customFormat="1" ht="15.95" customHeight="1" x14ac:dyDescent="0.25">
      <c r="B487" s="258" t="str">
        <f>$B$147</f>
        <v>Total</v>
      </c>
      <c r="C487" s="134">
        <f ca="1">$C$147</f>
        <v>11948.130069018489</v>
      </c>
      <c r="D487" s="134">
        <f ca="1">$D$147</f>
        <v>7076.0199999999886</v>
      </c>
      <c r="E487" s="134">
        <f ca="1">$E$147</f>
        <v>4872.1100690184994</v>
      </c>
      <c r="F487" s="125"/>
      <c r="G487" s="134">
        <f ca="1">$G$147</f>
        <v>3401.1725149814979</v>
      </c>
      <c r="H487" s="125"/>
      <c r="I487" s="134">
        <f ca="1">$I$147</f>
        <v>1470.9375540370008</v>
      </c>
      <c r="J487" s="125"/>
      <c r="K487" s="40"/>
      <c r="L487" s="131"/>
      <c r="M487" s="131"/>
      <c r="N487" s="40"/>
      <c r="O487" s="40"/>
      <c r="P487" s="131"/>
      <c r="Q487" s="131"/>
      <c r="R487" s="40"/>
      <c r="S487" s="40"/>
      <c r="T487" s="131"/>
      <c r="U487" s="131"/>
      <c r="V487" s="40"/>
    </row>
    <row r="488" spans="2:22" s="38" customFormat="1" ht="15.95" customHeight="1" x14ac:dyDescent="0.25"/>
    <row r="489" spans="2:22" s="38" customFormat="1" ht="15.95" customHeight="1" x14ac:dyDescent="0.25">
      <c r="B489" s="38" t="s">
        <v>590</v>
      </c>
    </row>
    <row r="490" spans="2:22" s="38" customFormat="1" ht="15.95" customHeight="1" x14ac:dyDescent="0.25">
      <c r="B490" s="38" t="s">
        <v>709</v>
      </c>
    </row>
    <row r="491" spans="2:22" s="38" customFormat="1" ht="15.95" customHeight="1" x14ac:dyDescent="0.25">
      <c r="B491" s="38" t="s">
        <v>592</v>
      </c>
    </row>
    <row r="492" spans="2:22" s="38" customFormat="1" ht="15.95" customHeight="1" x14ac:dyDescent="0.25"/>
    <row r="493" spans="2:22" s="38" customFormat="1" ht="15.95" customHeight="1" x14ac:dyDescent="0.25">
      <c r="C493" s="105" t="s">
        <v>20</v>
      </c>
      <c r="E493" s="105" t="s">
        <v>591</v>
      </c>
      <c r="G493" s="105" t="s">
        <v>732</v>
      </c>
      <c r="I493" s="105" t="s">
        <v>25</v>
      </c>
    </row>
    <row r="494" spans="2:22" s="38" customFormat="1" ht="15.95" customHeight="1" x14ac:dyDescent="0.25">
      <c r="C494" s="125">
        <f>$D$484</f>
        <v>228.48697048904467</v>
      </c>
      <c r="E494" s="140">
        <f>$E$32</f>
        <v>3.1600000000000003E-2</v>
      </c>
      <c r="G494" s="132">
        <f>$B$484</f>
        <v>12</v>
      </c>
      <c r="I494" s="125">
        <f>$G$484</f>
        <v>86.64225920944574</v>
      </c>
    </row>
    <row r="495" spans="2:22" s="38" customFormat="1" ht="15.95" customHeight="1" x14ac:dyDescent="0.25"/>
    <row r="496" spans="2:22" s="38" customFormat="1" ht="15.95" customHeight="1" x14ac:dyDescent="0.25">
      <c r="B496" s="38" t="s">
        <v>593</v>
      </c>
    </row>
    <row r="497" spans="1:9" s="38" customFormat="1" ht="15.95" customHeight="1" x14ac:dyDescent="0.25"/>
    <row r="498" spans="1:9" s="38" customFormat="1" ht="15.95" customHeight="1" x14ac:dyDescent="0.25">
      <c r="C498" s="105" t="s">
        <v>35</v>
      </c>
      <c r="E498" s="105" t="s">
        <v>25</v>
      </c>
      <c r="G498" s="105" t="s">
        <v>26</v>
      </c>
    </row>
    <row r="499" spans="1:9" s="38" customFormat="1" ht="15.95" customHeight="1" x14ac:dyDescent="0.25">
      <c r="C499" s="125">
        <f>$E$484</f>
        <v>103.40553142813559</v>
      </c>
      <c r="E499" s="125">
        <f>$G$484</f>
        <v>86.64225920944574</v>
      </c>
      <c r="G499" s="125">
        <f>$I$484</f>
        <v>16.763272218689849</v>
      </c>
    </row>
    <row r="500" spans="1:9" s="38" customFormat="1" ht="15.95" customHeight="1" x14ac:dyDescent="0.25">
      <c r="C500" s="130"/>
      <c r="E500" s="130"/>
      <c r="G500" s="130"/>
    </row>
    <row r="501" spans="1:9" s="38" customFormat="1" ht="15.95" customHeight="1" x14ac:dyDescent="0.25">
      <c r="B501" s="38" t="s">
        <v>595</v>
      </c>
      <c r="C501" s="130"/>
      <c r="E501" s="130"/>
      <c r="G501" s="130"/>
    </row>
    <row r="502" spans="1:9" s="38" customFormat="1" ht="15.95" customHeight="1" x14ac:dyDescent="0.25">
      <c r="B502" s="38" t="s">
        <v>596</v>
      </c>
      <c r="C502" s="130"/>
      <c r="E502" s="130"/>
      <c r="G502" s="130"/>
    </row>
    <row r="503" spans="1:9" s="38" customFormat="1" ht="15.95" customHeight="1" x14ac:dyDescent="0.25"/>
    <row r="504" spans="1:9" s="38" customFormat="1" ht="15.95" customHeight="1" x14ac:dyDescent="0.25">
      <c r="B504" s="38" t="s">
        <v>704</v>
      </c>
      <c r="E504" s="125">
        <f ca="1">$E$487</f>
        <v>4872.1100690184994</v>
      </c>
      <c r="G504" s="125">
        <f ca="1">$G$487</f>
        <v>3401.1725149814979</v>
      </c>
      <c r="I504" s="125">
        <f ca="1">$I$487</f>
        <v>1470.9375540370008</v>
      </c>
    </row>
    <row r="505" spans="1:9" s="38" customFormat="1" ht="15.95" customHeight="1" x14ac:dyDescent="0.25">
      <c r="E505" s="255" t="s">
        <v>705</v>
      </c>
      <c r="G505" s="255" t="s">
        <v>25</v>
      </c>
      <c r="I505" s="38" t="s">
        <v>26</v>
      </c>
    </row>
    <row r="506" spans="1:9" s="38" customFormat="1" ht="15.95" customHeight="1" x14ac:dyDescent="0.25"/>
    <row r="507" spans="1:9" s="43" customFormat="1" ht="24.95" customHeight="1" x14ac:dyDescent="0.25">
      <c r="A507" s="378" t="s">
        <v>878</v>
      </c>
    </row>
    <row r="508" spans="1:9" s="38" customFormat="1" ht="15.95" customHeight="1" x14ac:dyDescent="0.25">
      <c r="B508" s="38" t="s">
        <v>373</v>
      </c>
    </row>
    <row r="509" spans="1:9" s="38" customFormat="1" ht="15.95" customHeight="1" x14ac:dyDescent="0.25"/>
    <row r="510" spans="1:9" s="38" customFormat="1" ht="24.95" customHeight="1" x14ac:dyDescent="0.25">
      <c r="B510" s="390" t="s">
        <v>133</v>
      </c>
    </row>
    <row r="511" spans="1:9" s="38" customFormat="1" ht="20.100000000000001" customHeight="1" x14ac:dyDescent="0.25">
      <c r="B511" s="105" t="s">
        <v>17</v>
      </c>
      <c r="C511" s="105" t="s">
        <v>18</v>
      </c>
      <c r="D511" s="105" t="s">
        <v>24</v>
      </c>
      <c r="E511" s="105" t="s">
        <v>299</v>
      </c>
    </row>
    <row r="512" spans="1:9" s="38" customFormat="1" ht="15.95" customHeight="1" x14ac:dyDescent="0.25">
      <c r="B512" s="125">
        <f>$E$46</f>
        <v>331.89250191718025</v>
      </c>
      <c r="C512" s="129">
        <f>$E$46*$E$33</f>
        <v>11948.130069018489</v>
      </c>
      <c r="D512" s="129">
        <f>$E$31</f>
        <v>7076.02</v>
      </c>
      <c r="E512" s="129">
        <f>C512-D512</f>
        <v>4872.1100690184885</v>
      </c>
    </row>
    <row r="513" spans="2:11" s="38" customFormat="1" ht="15.95" customHeight="1" x14ac:dyDescent="0.25">
      <c r="B513" s="211"/>
      <c r="C513" s="135"/>
      <c r="D513" s="135"/>
      <c r="E513" s="135"/>
    </row>
    <row r="514" spans="2:11" s="38" customFormat="1" ht="15.95" customHeight="1" x14ac:dyDescent="0.25">
      <c r="B514" s="38" t="s">
        <v>594</v>
      </c>
    </row>
    <row r="515" spans="2:11" s="38" customFormat="1" ht="15.95" customHeight="1" x14ac:dyDescent="0.25">
      <c r="B515" s="38" t="s">
        <v>374</v>
      </c>
    </row>
    <row r="516" spans="2:11" s="38" customFormat="1" ht="15.95" customHeight="1" x14ac:dyDescent="0.25">
      <c r="C516" s="135"/>
      <c r="F516" s="135"/>
      <c r="H516" s="135"/>
    </row>
    <row r="517" spans="2:11" s="38" customFormat="1" ht="24.95" customHeight="1" x14ac:dyDescent="0.25">
      <c r="B517" s="390" t="s">
        <v>285</v>
      </c>
      <c r="K517" s="12"/>
    </row>
    <row r="518" spans="2:11" s="38" customFormat="1" ht="20.100000000000001" customHeight="1" x14ac:dyDescent="0.25">
      <c r="B518" s="485" t="s">
        <v>17</v>
      </c>
      <c r="C518" s="485" t="s">
        <v>18</v>
      </c>
      <c r="D518" s="485" t="s">
        <v>24</v>
      </c>
      <c r="E518" s="485" t="s">
        <v>38</v>
      </c>
      <c r="F518" s="485"/>
      <c r="G518" s="485"/>
    </row>
    <row r="519" spans="2:11" s="38" customFormat="1" ht="20.100000000000001" customHeight="1" x14ac:dyDescent="0.25">
      <c r="B519" s="485"/>
      <c r="C519" s="485"/>
      <c r="D519" s="485"/>
      <c r="E519" s="105" t="s">
        <v>25</v>
      </c>
      <c r="F519" s="105" t="s">
        <v>26</v>
      </c>
      <c r="G519" s="105" t="s">
        <v>99</v>
      </c>
    </row>
    <row r="520" spans="2:11" s="38" customFormat="1" ht="15.95" customHeight="1" x14ac:dyDescent="0.25">
      <c r="B520" s="125">
        <f>$E$46</f>
        <v>331.89250191718025</v>
      </c>
      <c r="C520" s="129">
        <f>$E$46*$E$33</f>
        <v>11948.130069018489</v>
      </c>
      <c r="D520" s="129">
        <f>$E$31</f>
        <v>7076.02</v>
      </c>
      <c r="E520" s="129">
        <f ca="1">$G$147</f>
        <v>3401.1725149814979</v>
      </c>
      <c r="F520" s="129">
        <f ca="1">$I$147</f>
        <v>1470.9375540370008</v>
      </c>
      <c r="G520" s="129">
        <f ca="1">$E$147</f>
        <v>4872.1100690184994</v>
      </c>
    </row>
    <row r="521" spans="2:11" s="38" customFormat="1" ht="15.95" customHeight="1" x14ac:dyDescent="0.25"/>
    <row r="522" spans="2:11" s="38" customFormat="1" ht="15.95" customHeight="1" x14ac:dyDescent="0.25">
      <c r="B522" s="38" t="s">
        <v>674</v>
      </c>
    </row>
    <row r="523" spans="2:11" s="38" customFormat="1" ht="15.95" customHeight="1" x14ac:dyDescent="0.25">
      <c r="B523" s="38" t="s">
        <v>675</v>
      </c>
    </row>
    <row r="524" spans="2:11" s="38" customFormat="1" ht="15.95" customHeight="1" x14ac:dyDescent="0.25"/>
    <row r="525" spans="2:11" s="38" customFormat="1" ht="23.1" customHeight="1" x14ac:dyDescent="0.25">
      <c r="B525" s="82"/>
      <c r="C525" s="398">
        <f ca="1">$F$520</f>
        <v>1470.9375540370008</v>
      </c>
    </row>
    <row r="526" spans="2:11" s="38" customFormat="1" ht="15.95" customHeight="1" x14ac:dyDescent="0.25"/>
    <row r="527" spans="2:11" ht="15.95" customHeight="1" x14ac:dyDescent="0.25"/>
    <row r="528" spans="2:11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</sheetData>
  <sheetProtection password="C6BE" sheet="1" objects="1" scenarios="1" formatColumns="0" insertRows="0" deleteRows="0"/>
  <mergeCells count="330">
    <mergeCell ref="G478:J478"/>
    <mergeCell ref="G477:J477"/>
    <mergeCell ref="B338:B339"/>
    <mergeCell ref="C338:D338"/>
    <mergeCell ref="E338:F338"/>
    <mergeCell ref="B518:B519"/>
    <mergeCell ref="C518:C519"/>
    <mergeCell ref="D518:D519"/>
    <mergeCell ref="E518:G518"/>
    <mergeCell ref="I365:I366"/>
    <mergeCell ref="C449:D449"/>
    <mergeCell ref="C454:D454"/>
    <mergeCell ref="C458:D458"/>
    <mergeCell ref="C461:D461"/>
    <mergeCell ref="H404:I404"/>
    <mergeCell ref="G365:G366"/>
    <mergeCell ref="G364:J364"/>
    <mergeCell ref="C442:D442"/>
    <mergeCell ref="C478:F478"/>
    <mergeCell ref="C477:F477"/>
    <mergeCell ref="B477:B479"/>
    <mergeCell ref="J365:J366"/>
    <mergeCell ref="B363:B366"/>
    <mergeCell ref="C363:F364"/>
    <mergeCell ref="AU364:AX364"/>
    <mergeCell ref="AY364:BB364"/>
    <mergeCell ref="CI364:CL364"/>
    <mergeCell ref="AI211:AJ211"/>
    <mergeCell ref="S211:T211"/>
    <mergeCell ref="W364:Z364"/>
    <mergeCell ref="AA364:AD364"/>
    <mergeCell ref="AE364:AH364"/>
    <mergeCell ref="AI364:AL364"/>
    <mergeCell ref="AQ364:AT364"/>
    <mergeCell ref="BW211:BX211"/>
    <mergeCell ref="BY211:BZ211"/>
    <mergeCell ref="AW211:AX211"/>
    <mergeCell ref="AY211:AZ211"/>
    <mergeCell ref="BU211:BV211"/>
    <mergeCell ref="EU404:EV404"/>
    <mergeCell ref="C250:F250"/>
    <mergeCell ref="CA211:CA212"/>
    <mergeCell ref="C312:D312"/>
    <mergeCell ref="E312:F312"/>
    <mergeCell ref="DD365:DD366"/>
    <mergeCell ref="DX365:DX366"/>
    <mergeCell ref="DY365:DY366"/>
    <mergeCell ref="EB365:EB366"/>
    <mergeCell ref="EC365:EC366"/>
    <mergeCell ref="CS365:CS366"/>
    <mergeCell ref="CV365:CV366"/>
    <mergeCell ref="CW365:CW366"/>
    <mergeCell ref="CB365:CB366"/>
    <mergeCell ref="CC365:CC366"/>
    <mergeCell ref="CH365:CH366"/>
    <mergeCell ref="CL365:CL366"/>
    <mergeCell ref="BW365:BW366"/>
    <mergeCell ref="CA365:CA366"/>
    <mergeCell ref="CG365:CG366"/>
    <mergeCell ref="G363:EW363"/>
    <mergeCell ref="DG364:DJ364"/>
    <mergeCell ref="DK364:DN364"/>
    <mergeCell ref="DO364:DR364"/>
    <mergeCell ref="C365:C366"/>
    <mergeCell ref="BK211:BL211"/>
    <mergeCell ref="BM211:BN211"/>
    <mergeCell ref="BO211:BP211"/>
    <mergeCell ref="BQ211:BR211"/>
    <mergeCell ref="BS211:BT211"/>
    <mergeCell ref="BA211:BB211"/>
    <mergeCell ref="BC211:BD211"/>
    <mergeCell ref="BE211:BF211"/>
    <mergeCell ref="BG211:BH211"/>
    <mergeCell ref="AM211:AN211"/>
    <mergeCell ref="AO211:AP211"/>
    <mergeCell ref="BI211:BJ211"/>
    <mergeCell ref="AQ211:AR211"/>
    <mergeCell ref="M211:N211"/>
    <mergeCell ref="BO365:BO366"/>
    <mergeCell ref="BS365:BS366"/>
    <mergeCell ref="O364:R364"/>
    <mergeCell ref="S364:V364"/>
    <mergeCell ref="K365:K366"/>
    <mergeCell ref="T365:T366"/>
    <mergeCell ref="AU365:AU366"/>
    <mergeCell ref="AS211:AT211"/>
    <mergeCell ref="AU211:AV211"/>
    <mergeCell ref="B31:C31"/>
    <mergeCell ref="CA364:CD364"/>
    <mergeCell ref="CE364:CH364"/>
    <mergeCell ref="CN365:CN366"/>
    <mergeCell ref="DA365:DA366"/>
    <mergeCell ref="BZ365:BZ366"/>
    <mergeCell ref="BX365:BX366"/>
    <mergeCell ref="BY365:BY366"/>
    <mergeCell ref="B32:C32"/>
    <mergeCell ref="B33:C33"/>
    <mergeCell ref="B35:C35"/>
    <mergeCell ref="B36:C36"/>
    <mergeCell ref="B37:C37"/>
    <mergeCell ref="B34:C34"/>
    <mergeCell ref="B45:D45"/>
    <mergeCell ref="B54:C54"/>
    <mergeCell ref="D47:E47"/>
    <mergeCell ref="B46:D46"/>
    <mergeCell ref="AW365:AW366"/>
    <mergeCell ref="F60:G60"/>
    <mergeCell ref="F59:G59"/>
    <mergeCell ref="C148:I148"/>
    <mergeCell ref="C210:F211"/>
    <mergeCell ref="C108:F108"/>
    <mergeCell ref="CJ365:CJ366"/>
    <mergeCell ref="CK365:CK366"/>
    <mergeCell ref="EE365:EE366"/>
    <mergeCell ref="BG365:BG366"/>
    <mergeCell ref="EA365:EA366"/>
    <mergeCell ref="BK365:BK366"/>
    <mergeCell ref="EI365:EI366"/>
    <mergeCell ref="EM365:EM366"/>
    <mergeCell ref="EQ365:EQ366"/>
    <mergeCell ref="CM365:CM366"/>
    <mergeCell ref="CQ365:CQ366"/>
    <mergeCell ref="CI365:CI366"/>
    <mergeCell ref="BV365:BV366"/>
    <mergeCell ref="CD365:CD366"/>
    <mergeCell ref="BN365:BN366"/>
    <mergeCell ref="BR365:BR366"/>
    <mergeCell ref="DE365:DE366"/>
    <mergeCell ref="CU365:CU366"/>
    <mergeCell ref="CY365:CY366"/>
    <mergeCell ref="DC365:DC366"/>
    <mergeCell ref="BC365:BC366"/>
    <mergeCell ref="AZ365:AZ366"/>
    <mergeCell ref="BA365:BA366"/>
    <mergeCell ref="BD365:BD366"/>
    <mergeCell ref="BP365:BP366"/>
    <mergeCell ref="AX365:AX366"/>
    <mergeCell ref="BB365:BB366"/>
    <mergeCell ref="BF365:BF366"/>
    <mergeCell ref="BJ365:BJ366"/>
    <mergeCell ref="CM364:CP364"/>
    <mergeCell ref="CQ364:CT364"/>
    <mergeCell ref="CE365:CE366"/>
    <mergeCell ref="AY365:AY366"/>
    <mergeCell ref="EF365:EF366"/>
    <mergeCell ref="BW364:BZ364"/>
    <mergeCell ref="DS364:DV364"/>
    <mergeCell ref="DW364:DZ364"/>
    <mergeCell ref="EA364:ED364"/>
    <mergeCell ref="EE364:EH364"/>
    <mergeCell ref="DU365:DU366"/>
    <mergeCell ref="CO365:CO366"/>
    <mergeCell ref="CR365:CR366"/>
    <mergeCell ref="CP365:CP366"/>
    <mergeCell ref="BQ365:BQ366"/>
    <mergeCell ref="BT365:BT366"/>
    <mergeCell ref="BU365:BU366"/>
    <mergeCell ref="CF365:CF366"/>
    <mergeCell ref="BE365:BE366"/>
    <mergeCell ref="BH365:BH366"/>
    <mergeCell ref="BI365:BI366"/>
    <mergeCell ref="BL365:BL366"/>
    <mergeCell ref="BM365:BM366"/>
    <mergeCell ref="DW365:DW366"/>
    <mergeCell ref="EU364:EW364"/>
    <mergeCell ref="P404:Q404"/>
    <mergeCell ref="ED365:ED366"/>
    <mergeCell ref="EH365:EH366"/>
    <mergeCell ref="EL365:EL366"/>
    <mergeCell ref="EP365:EP366"/>
    <mergeCell ref="ET365:ET366"/>
    <mergeCell ref="CT365:CT366"/>
    <mergeCell ref="CX365:CX366"/>
    <mergeCell ref="DB365:DB366"/>
    <mergeCell ref="DF365:DF366"/>
    <mergeCell ref="DJ365:DJ366"/>
    <mergeCell ref="DN365:DN366"/>
    <mergeCell ref="DR365:DR366"/>
    <mergeCell ref="DV365:DV366"/>
    <mergeCell ref="DZ365:DZ366"/>
    <mergeCell ref="R365:R366"/>
    <mergeCell ref="CU364:CX364"/>
    <mergeCell ref="BC364:BF364"/>
    <mergeCell ref="BG364:BJ364"/>
    <mergeCell ref="BK364:BN364"/>
    <mergeCell ref="BO364:BR364"/>
    <mergeCell ref="BS364:BV364"/>
    <mergeCell ref="AV365:AV366"/>
    <mergeCell ref="EI364:EL364"/>
    <mergeCell ref="EM364:EP364"/>
    <mergeCell ref="EQ364:ET364"/>
    <mergeCell ref="CY364:DB364"/>
    <mergeCell ref="DC364:DF364"/>
    <mergeCell ref="ER365:ER366"/>
    <mergeCell ref="ES365:ES366"/>
    <mergeCell ref="CZ365:CZ366"/>
    <mergeCell ref="EJ365:EJ366"/>
    <mergeCell ref="EK365:EK366"/>
    <mergeCell ref="DQ365:DQ366"/>
    <mergeCell ref="DO365:DO366"/>
    <mergeCell ref="DS365:DS366"/>
    <mergeCell ref="DG365:DG366"/>
    <mergeCell ref="DL365:DL366"/>
    <mergeCell ref="DM365:DM366"/>
    <mergeCell ref="DP365:DP366"/>
    <mergeCell ref="DK365:DK366"/>
    <mergeCell ref="DH365:DH366"/>
    <mergeCell ref="DI365:DI366"/>
    <mergeCell ref="EN365:EN366"/>
    <mergeCell ref="EO365:EO366"/>
    <mergeCell ref="DT365:DT366"/>
    <mergeCell ref="EG365:EG366"/>
    <mergeCell ref="ER404:ES404"/>
    <mergeCell ref="CJ404:CK404"/>
    <mergeCell ref="CN404:CO404"/>
    <mergeCell ref="CR404:CS404"/>
    <mergeCell ref="CV404:CW404"/>
    <mergeCell ref="CZ404:DA404"/>
    <mergeCell ref="DD404:DE404"/>
    <mergeCell ref="DH404:DI404"/>
    <mergeCell ref="DL404:DM404"/>
    <mergeCell ref="DP404:DQ404"/>
    <mergeCell ref="DX404:DY404"/>
    <mergeCell ref="EB404:EC404"/>
    <mergeCell ref="EF404:EG404"/>
    <mergeCell ref="EJ404:EK404"/>
    <mergeCell ref="EN404:EO404"/>
    <mergeCell ref="DT404:DU404"/>
    <mergeCell ref="T404:U404"/>
    <mergeCell ref="X404:Y404"/>
    <mergeCell ref="BH404:BI404"/>
    <mergeCell ref="BT404:BU404"/>
    <mergeCell ref="BD404:BE404"/>
    <mergeCell ref="BX404:BY404"/>
    <mergeCell ref="C404:F404"/>
    <mergeCell ref="AF404:AG404"/>
    <mergeCell ref="AJ404:AK404"/>
    <mergeCell ref="AN404:AO404"/>
    <mergeCell ref="AB404:AC404"/>
    <mergeCell ref="AR404:AS404"/>
    <mergeCell ref="AV404:AW404"/>
    <mergeCell ref="AZ404:BA404"/>
    <mergeCell ref="E365:E366"/>
    <mergeCell ref="F365:F366"/>
    <mergeCell ref="AT365:AT366"/>
    <mergeCell ref="AE365:AE366"/>
    <mergeCell ref="AI365:AI366"/>
    <mergeCell ref="AM365:AM366"/>
    <mergeCell ref="AQ365:AQ366"/>
    <mergeCell ref="AF365:AF366"/>
    <mergeCell ref="AG365:AG366"/>
    <mergeCell ref="AJ365:AJ366"/>
    <mergeCell ref="AR365:AR366"/>
    <mergeCell ref="AS365:AS366"/>
    <mergeCell ref="AK365:AK366"/>
    <mergeCell ref="AN365:AN366"/>
    <mergeCell ref="AO365:AO366"/>
    <mergeCell ref="AH365:AH366"/>
    <mergeCell ref="AL365:AL366"/>
    <mergeCell ref="AP365:AP366"/>
    <mergeCell ref="U365:U366"/>
    <mergeCell ref="X365:X366"/>
    <mergeCell ref="AC365:AC366"/>
    <mergeCell ref="K364:N364"/>
    <mergeCell ref="CB404:CC404"/>
    <mergeCell ref="CF404:CG404"/>
    <mergeCell ref="C439:D439"/>
    <mergeCell ref="BL404:BM404"/>
    <mergeCell ref="BP404:BQ404"/>
    <mergeCell ref="AM364:AP364"/>
    <mergeCell ref="P365:P366"/>
    <mergeCell ref="Q365:Q366"/>
    <mergeCell ref="AD365:AD366"/>
    <mergeCell ref="V365:V366"/>
    <mergeCell ref="Z365:Z366"/>
    <mergeCell ref="Y365:Y366"/>
    <mergeCell ref="AB365:AB366"/>
    <mergeCell ref="O365:O366"/>
    <mergeCell ref="S365:S366"/>
    <mergeCell ref="W365:W366"/>
    <mergeCell ref="AA365:AA366"/>
    <mergeCell ref="N365:N366"/>
    <mergeCell ref="H365:H366"/>
    <mergeCell ref="L404:M404"/>
    <mergeCell ref="L365:L366"/>
    <mergeCell ref="M365:M366"/>
    <mergeCell ref="D365:D366"/>
    <mergeCell ref="B55:C55"/>
    <mergeCell ref="C61:D61"/>
    <mergeCell ref="B108:B110"/>
    <mergeCell ref="C278:D278"/>
    <mergeCell ref="C286:D286"/>
    <mergeCell ref="C290:D290"/>
    <mergeCell ref="C325:D325"/>
    <mergeCell ref="E325:F325"/>
    <mergeCell ref="B325:B326"/>
    <mergeCell ref="O211:P211"/>
    <mergeCell ref="AG211:AH211"/>
    <mergeCell ref="AK211:AL211"/>
    <mergeCell ref="AA211:AB211"/>
    <mergeCell ref="AC211:AD211"/>
    <mergeCell ref="AE211:AF211"/>
    <mergeCell ref="U211:V211"/>
    <mergeCell ref="W211:X211"/>
    <mergeCell ref="Y211:Z211"/>
    <mergeCell ref="Q211:R211"/>
    <mergeCell ref="G46:H46"/>
    <mergeCell ref="H59:J59"/>
    <mergeCell ref="H60:J60"/>
    <mergeCell ref="B302:F305"/>
    <mergeCell ref="B350:F353"/>
    <mergeCell ref="G211:H211"/>
    <mergeCell ref="I211:J211"/>
    <mergeCell ref="K211:L211"/>
    <mergeCell ref="H76:I76"/>
    <mergeCell ref="H77:I77"/>
    <mergeCell ref="B312:B313"/>
    <mergeCell ref="G109:J109"/>
    <mergeCell ref="H69:I69"/>
    <mergeCell ref="H70:I70"/>
    <mergeCell ref="H71:I71"/>
    <mergeCell ref="H72:I72"/>
    <mergeCell ref="H73:I73"/>
    <mergeCell ref="G108:J108"/>
    <mergeCell ref="B56:C56"/>
    <mergeCell ref="B210:B212"/>
    <mergeCell ref="C109:F109"/>
    <mergeCell ref="B59:C59"/>
    <mergeCell ref="B60:C60"/>
    <mergeCell ref="G210:CA210"/>
  </mergeCells>
  <conditionalFormatting sqref="C61:D61">
    <cfRule type="cellIs" dxfId="27" priority="28" operator="greaterThan">
      <formula>" "</formula>
    </cfRule>
  </conditionalFormatting>
  <conditionalFormatting sqref="D47:E47">
    <cfRule type="cellIs" dxfId="26" priority="27" operator="greaterThan">
      <formula>" "</formula>
    </cfRule>
  </conditionalFormatting>
  <conditionalFormatting sqref="C148:I148">
    <cfRule type="cellIs" dxfId="25" priority="26" operator="greaterThan">
      <formula>" "</formula>
    </cfRule>
  </conditionalFormatting>
  <conditionalFormatting sqref="C250">
    <cfRule type="cellIs" dxfId="24" priority="25" operator="greaterThan">
      <formula>" "</formula>
    </cfRule>
  </conditionalFormatting>
  <conditionalFormatting sqref="C404:C405">
    <cfRule type="cellIs" dxfId="23" priority="24" operator="greaterThan">
      <formula>" "</formula>
    </cfRule>
  </conditionalFormatting>
  <conditionalFormatting sqref="H69:I69">
    <cfRule type="cellIs" dxfId="22" priority="14" operator="greaterThan">
      <formula>" "</formula>
    </cfRule>
  </conditionalFormatting>
  <conditionalFormatting sqref="H70">
    <cfRule type="cellIs" dxfId="21" priority="13" operator="greaterThan">
      <formula>" "</formula>
    </cfRule>
  </conditionalFormatting>
  <conditionalFormatting sqref="H71:I71">
    <cfRule type="cellIs" dxfId="20" priority="12" operator="greaterThan">
      <formula>" "</formula>
    </cfRule>
  </conditionalFormatting>
  <conditionalFormatting sqref="H72:I72">
    <cfRule type="cellIs" dxfId="19" priority="11" operator="greaterThan">
      <formula>" "</formula>
    </cfRule>
  </conditionalFormatting>
  <conditionalFormatting sqref="H73:I73">
    <cfRule type="cellIs" dxfId="18" priority="10" operator="greaterThan">
      <formula>" "</formula>
    </cfRule>
  </conditionalFormatting>
  <conditionalFormatting sqref="H76">
    <cfRule type="cellIs" dxfId="17" priority="9" operator="greaterThan">
      <formula>" "</formula>
    </cfRule>
  </conditionalFormatting>
  <conditionalFormatting sqref="H77">
    <cfRule type="cellIs" dxfId="16" priority="8" operator="greaterThan">
      <formula>" "</formula>
    </cfRule>
  </conditionalFormatting>
  <conditionalFormatting sqref="K69:L69">
    <cfRule type="cellIs" dxfId="15" priority="7" operator="greaterThan">
      <formula>" "</formula>
    </cfRule>
  </conditionalFormatting>
  <conditionalFormatting sqref="K76">
    <cfRule type="cellIs" dxfId="14" priority="4" operator="greaterThan">
      <formula>" "</formula>
    </cfRule>
  </conditionalFormatting>
  <conditionalFormatting sqref="K77">
    <cfRule type="cellIs" dxfId="13" priority="3" operator="greaterThan">
      <formula>" "</formula>
    </cfRule>
  </conditionalFormatting>
  <conditionalFormatting sqref="K70">
    <cfRule type="cellIs" dxfId="12" priority="2" operator="greaterThan">
      <formula>" "</formula>
    </cfRule>
  </conditionalFormatting>
  <conditionalFormatting sqref="K71:K73">
    <cfRule type="cellIs" dxfId="11" priority="1" operator="greaterThan">
      <formula>" "</formula>
    </cfRule>
  </conditionalFormatting>
  <hyperlinks>
    <hyperlink ref="C3" location="Cel_3.1" display="3.1) Passos para substituir as cláusulas do exemplo pelas de SEU contrato"/>
    <hyperlink ref="C4" location="Cel_3.2" display="3.2) As cláusulas do contrato"/>
    <hyperlink ref="C5" location="Cel_3.3" display="3.3) Substitua os dados da Tabela 01 pelas cláusulas de SEU contrato"/>
    <hyperlink ref="C6" location="Cel_3.3.1" display="3.3.1) Confira se o valor da prestação está correto"/>
    <hyperlink ref="C7" location="Cel_3.3.2" display="3.3.2) Confira se as taxas anuais estão corretas"/>
    <hyperlink ref="C8" location="Cel_3.4" display="3.4) Complete as tabelas abaixo com as prestações de SEU contrato"/>
    <hyperlink ref="C9" location="Cel_3.5" display="3.5) Calcular o montante e o valor total de juros"/>
    <hyperlink ref="C10" location="Cel_3.6" display="3.6) O valor dos juros e de amortização em cada prestação"/>
    <hyperlink ref="C11" location="Cel_3.7" display="3.7) Fundamentação do cálculo do Valor Presente"/>
    <hyperlink ref="C12" location="Cel_3.8" display="3.8) Identificar a distribuição, mês a mês, do valor de juros de cada prestação"/>
    <hyperlink ref="C13" location="Cel_3.9" display="3.9) Os conceitos de valor de juros compostos, valor de juros lineares e valor de juros sobre juros"/>
    <hyperlink ref="C14" location="Cel_3.10" display="3.10) Os juros lineares e os juros sobre juros em cada mês da prestação"/>
    <hyperlink ref="C15" location="Cel_3.11" display="3.11) Fórmula prática de calcular os juros lineares e os juros sobre juros"/>
    <hyperlink ref="C16" location="Cel_3.12" display="3.12) Os valores básicos do contrato, detalhados por juros lineares e juros sobre juros"/>
    <hyperlink ref="K69" location="Erro_Tab_06" display="Erro_Tab_06"/>
    <hyperlink ref="K76" location="Erro_Tab_07" display="Erro_Tab_07"/>
    <hyperlink ref="K77" location="Erro_Tab_09" display="Erro_Tab_09"/>
    <hyperlink ref="K70" location="Erro_Tab_16" display="Erro_Tab_16"/>
    <hyperlink ref="K71" location="Erro_Tab_17" display="Erro_Tab_17"/>
    <hyperlink ref="K72" location="Erro_Tab_19" display="Erro_Tab_19"/>
    <hyperlink ref="K73" location="Erro_Tab_20" display="Erro_Tab_20"/>
  </hyperlinks>
  <pageMargins left="0.7" right="0.7" top="0.75" bottom="0.75" header="0.3" footer="0.3"/>
  <pageSetup paperSize="9" orientation="portrait" r:id="rId1"/>
  <ignoredErrors>
    <ignoredError sqref="D213:D2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2"/>
  <sheetViews>
    <sheetView zoomScale="80" zoomScaleNormal="80" workbookViewId="0">
      <selection activeCell="A2" sqref="A2"/>
    </sheetView>
  </sheetViews>
  <sheetFormatPr defaultRowHeight="15" x14ac:dyDescent="0.25"/>
  <cols>
    <col min="1" max="1" width="5.7109375" customWidth="1"/>
    <col min="2" max="2" width="11.140625" customWidth="1"/>
    <col min="3" max="3" width="23.42578125" customWidth="1"/>
    <col min="4" max="4" width="13.42578125" customWidth="1"/>
    <col min="5" max="5" width="13.140625" customWidth="1"/>
    <col min="6" max="6" width="16.42578125" customWidth="1"/>
    <col min="7" max="7" width="29.28515625" customWidth="1"/>
    <col min="8" max="8" width="16.7109375" customWidth="1"/>
    <col min="9" max="9" width="14" customWidth="1"/>
    <col min="10" max="10" width="24.5703125" customWidth="1"/>
    <col min="11" max="11" width="22" customWidth="1"/>
    <col min="12" max="12" width="15.85546875" customWidth="1"/>
    <col min="13" max="13" width="25.28515625" customWidth="1"/>
    <col min="14" max="14" width="17" customWidth="1"/>
    <col min="15" max="15" width="13" customWidth="1"/>
    <col min="16" max="16" width="24.42578125" customWidth="1"/>
    <col min="17" max="19" width="15.7109375" customWidth="1"/>
    <col min="20" max="20" width="16.42578125" customWidth="1"/>
    <col min="21" max="21" width="11.5703125" customWidth="1"/>
    <col min="22" max="23" width="16" customWidth="1"/>
    <col min="24" max="24" width="11.5703125" customWidth="1"/>
    <col min="25" max="25" width="10.140625" customWidth="1"/>
    <col min="26" max="27" width="13.42578125" customWidth="1"/>
    <col min="28" max="28" width="12.42578125" customWidth="1"/>
    <col min="29" max="31" width="11.85546875" customWidth="1"/>
    <col min="32" max="32" width="10.7109375" customWidth="1"/>
    <col min="33" max="33" width="10.85546875" customWidth="1"/>
    <col min="34" max="35" width="12.85546875" customWidth="1"/>
    <col min="36" max="36" width="11" customWidth="1"/>
    <col min="37" max="37" width="10.42578125" customWidth="1"/>
    <col min="38" max="39" width="13.42578125" customWidth="1"/>
    <col min="40" max="40" width="10.7109375" customWidth="1"/>
    <col min="41" max="41" width="10.5703125" customWidth="1"/>
    <col min="42" max="43" width="12.140625" customWidth="1"/>
    <col min="44" max="44" width="10.42578125" customWidth="1"/>
    <col min="45" max="45" width="11" customWidth="1"/>
    <col min="46" max="47" width="13" customWidth="1"/>
    <col min="48" max="48" width="10.5703125" customWidth="1"/>
    <col min="49" max="51" width="11.28515625" customWidth="1"/>
    <col min="52" max="52" width="11" customWidth="1"/>
    <col min="53" max="53" width="11.42578125" customWidth="1"/>
    <col min="54" max="55" width="13.28515625" customWidth="1"/>
    <col min="56" max="56" width="10.5703125" customWidth="1"/>
    <col min="57" max="57" width="10.28515625" customWidth="1"/>
    <col min="58" max="58" width="11.42578125" customWidth="1"/>
    <col min="59" max="59" width="12.7109375" customWidth="1"/>
    <col min="60" max="61" width="10.5703125" customWidth="1"/>
    <col min="62" max="63" width="12.85546875" customWidth="1"/>
    <col min="64" max="66" width="11.28515625" customWidth="1"/>
    <col min="67" max="67" width="13.85546875" customWidth="1"/>
    <col min="68" max="70" width="11.28515625" customWidth="1"/>
    <col min="71" max="71" width="13.5703125" customWidth="1"/>
    <col min="72" max="74" width="11.28515625" customWidth="1"/>
    <col min="75" max="75" width="13.42578125" customWidth="1"/>
    <col min="76" max="78" width="11.28515625" customWidth="1"/>
    <col min="79" max="79" width="14.140625" customWidth="1"/>
    <col min="80" max="82" width="11.28515625" customWidth="1"/>
    <col min="83" max="83" width="12.140625" customWidth="1"/>
    <col min="84" max="86" width="11.28515625" customWidth="1"/>
    <col min="87" max="87" width="12.85546875" customWidth="1"/>
    <col min="88" max="90" width="11.28515625" customWidth="1"/>
    <col min="91" max="91" width="12.5703125" customWidth="1"/>
    <col min="92" max="94" width="11.28515625" customWidth="1"/>
    <col min="95" max="95" width="13.42578125" customWidth="1"/>
    <col min="96" max="98" width="11.28515625" customWidth="1"/>
    <col min="99" max="99" width="14" customWidth="1"/>
    <col min="100" max="102" width="11.28515625" customWidth="1"/>
    <col min="103" max="103" width="15" customWidth="1"/>
    <col min="104" max="106" width="11.28515625" customWidth="1"/>
    <col min="107" max="107" width="14.28515625" customWidth="1"/>
    <col min="108" max="110" width="11.28515625" customWidth="1"/>
    <col min="111" max="111" width="12.42578125" customWidth="1"/>
    <col min="112" max="114" width="11.28515625" customWidth="1"/>
    <col min="115" max="115" width="13.28515625" customWidth="1"/>
    <col min="116" max="118" width="11.28515625" customWidth="1"/>
    <col min="119" max="119" width="13.140625" customWidth="1"/>
    <col min="120" max="122" width="11.28515625" customWidth="1"/>
    <col min="123" max="123" width="13.140625" customWidth="1"/>
    <col min="124" max="126" width="11.28515625" customWidth="1"/>
    <col min="127" max="127" width="13.42578125" customWidth="1"/>
    <col min="128" max="130" width="11.28515625" customWidth="1"/>
    <col min="131" max="131" width="13.140625" customWidth="1"/>
    <col min="132" max="134" width="11.28515625" customWidth="1"/>
    <col min="135" max="135" width="13.28515625" customWidth="1"/>
    <col min="136" max="138" width="11.28515625" customWidth="1"/>
    <col min="139" max="139" width="13.28515625" customWidth="1"/>
    <col min="140" max="142" width="11.28515625" customWidth="1"/>
    <col min="143" max="143" width="12.85546875" customWidth="1"/>
    <col min="144" max="146" width="11.28515625" customWidth="1"/>
    <col min="147" max="147" width="12.7109375" customWidth="1"/>
    <col min="148" max="150" width="11.28515625" customWidth="1"/>
    <col min="151" max="151" width="14.85546875" customWidth="1"/>
    <col min="152" max="152" width="13.42578125" customWidth="1"/>
    <col min="153" max="153" width="14.7109375" customWidth="1"/>
  </cols>
  <sheetData>
    <row r="1" spans="1:3" s="43" customFormat="1" ht="30" customHeight="1" x14ac:dyDescent="0.25">
      <c r="A1" s="377" t="s">
        <v>351</v>
      </c>
    </row>
    <row r="2" spans="1:3" s="38" customFormat="1" ht="15.95" customHeight="1" x14ac:dyDescent="0.25">
      <c r="C2" s="420" t="s">
        <v>860</v>
      </c>
    </row>
    <row r="3" spans="1:3" s="43" customFormat="1" ht="15.95" customHeight="1" x14ac:dyDescent="0.25">
      <c r="A3" s="377"/>
      <c r="C3" s="451" t="s">
        <v>369</v>
      </c>
    </row>
    <row r="4" spans="1:3" s="43" customFormat="1" ht="15.95" customHeight="1" x14ac:dyDescent="0.25">
      <c r="A4" s="377"/>
      <c r="C4" s="451" t="s">
        <v>378</v>
      </c>
    </row>
    <row r="5" spans="1:3" s="43" customFormat="1" ht="15.95" customHeight="1" x14ac:dyDescent="0.25">
      <c r="A5" s="377"/>
      <c r="C5" s="451" t="s">
        <v>499</v>
      </c>
    </row>
    <row r="6" spans="1:3" s="43" customFormat="1" ht="15.95" customHeight="1" x14ac:dyDescent="0.25">
      <c r="A6" s="377"/>
      <c r="C6" s="452" t="s">
        <v>683</v>
      </c>
    </row>
    <row r="7" spans="1:3" s="43" customFormat="1" ht="15.95" customHeight="1" x14ac:dyDescent="0.25">
      <c r="A7" s="377"/>
      <c r="C7" s="452" t="s">
        <v>684</v>
      </c>
    </row>
    <row r="8" spans="1:3" s="43" customFormat="1" ht="15.95" customHeight="1" x14ac:dyDescent="0.25">
      <c r="A8" s="377"/>
      <c r="C8" s="452" t="s">
        <v>686</v>
      </c>
    </row>
    <row r="9" spans="1:3" s="43" customFormat="1" ht="15.95" customHeight="1" x14ac:dyDescent="0.25">
      <c r="A9" s="377"/>
      <c r="C9" s="452" t="s">
        <v>688</v>
      </c>
    </row>
    <row r="10" spans="1:3" s="43" customFormat="1" ht="15.95" customHeight="1" x14ac:dyDescent="0.25">
      <c r="A10" s="377"/>
      <c r="C10" s="452" t="s">
        <v>690</v>
      </c>
    </row>
    <row r="11" spans="1:3" s="43" customFormat="1" ht="15.95" customHeight="1" x14ac:dyDescent="0.25">
      <c r="A11" s="377"/>
      <c r="C11" s="451" t="s">
        <v>514</v>
      </c>
    </row>
    <row r="12" spans="1:3" s="43" customFormat="1" ht="15.95" customHeight="1" x14ac:dyDescent="0.25">
      <c r="A12" s="377"/>
      <c r="C12" s="451" t="s">
        <v>864</v>
      </c>
    </row>
    <row r="13" spans="1:3" s="43" customFormat="1" ht="15.95" customHeight="1" x14ac:dyDescent="0.25"/>
    <row r="14" spans="1:3" s="43" customFormat="1" ht="24.95" customHeight="1" x14ac:dyDescent="0.25">
      <c r="A14" s="378" t="s">
        <v>369</v>
      </c>
    </row>
    <row r="15" spans="1:3" s="43" customFormat="1" ht="15.95" customHeight="1" x14ac:dyDescent="0.25">
      <c r="B15" s="43" t="s">
        <v>257</v>
      </c>
    </row>
    <row r="16" spans="1:3" s="43" customFormat="1" ht="15.95" customHeight="1" x14ac:dyDescent="0.25">
      <c r="B16" s="43" t="s">
        <v>258</v>
      </c>
    </row>
    <row r="17" spans="2:22" s="43" customFormat="1" ht="15.95" customHeight="1" x14ac:dyDescent="0.25">
      <c r="B17" s="43" t="s">
        <v>320</v>
      </c>
    </row>
    <row r="18" spans="2:22" s="43" customFormat="1" ht="15.95" customHeight="1" x14ac:dyDescent="0.25">
      <c r="B18" s="43" t="s">
        <v>259</v>
      </c>
    </row>
    <row r="19" spans="2:22" s="38" customFormat="1" ht="15.95" customHeight="1" x14ac:dyDescent="0.25"/>
    <row r="20" spans="2:22" s="38" customFormat="1" ht="15.95" customHeight="1" x14ac:dyDescent="0.25">
      <c r="B20" s="580" t="s">
        <v>708</v>
      </c>
      <c r="C20" s="581"/>
      <c r="D20" s="581"/>
      <c r="E20" s="581"/>
      <c r="F20" s="581"/>
      <c r="G20" s="582"/>
    </row>
    <row r="21" spans="2:22" s="38" customFormat="1" ht="15.95" customHeight="1" x14ac:dyDescent="0.25">
      <c r="B21" s="583"/>
      <c r="C21" s="584"/>
      <c r="D21" s="584"/>
      <c r="E21" s="584"/>
      <c r="F21" s="584"/>
      <c r="G21" s="585"/>
      <c r="I21" s="109"/>
    </row>
    <row r="22" spans="2:22" s="38" customFormat="1" ht="15.95" customHeight="1" x14ac:dyDescent="0.25">
      <c r="B22" s="586"/>
      <c r="C22" s="587"/>
      <c r="D22" s="587"/>
      <c r="E22" s="587"/>
      <c r="F22" s="587"/>
      <c r="G22" s="588"/>
    </row>
    <row r="23" spans="2:22" s="43" customFormat="1" ht="15.95" customHeight="1" x14ac:dyDescent="0.25"/>
    <row r="24" spans="2:22" s="12" customFormat="1" ht="24.95" customHeight="1" x14ac:dyDescent="0.25">
      <c r="B24" s="383" t="s">
        <v>494</v>
      </c>
      <c r="C24" s="93"/>
      <c r="D24" s="26"/>
      <c r="E24" s="93"/>
      <c r="F24" s="93"/>
      <c r="G24" s="21"/>
      <c r="H24" s="24"/>
      <c r="I24" s="24"/>
      <c r="J24" s="21"/>
      <c r="K24" s="21"/>
      <c r="L24" s="24"/>
      <c r="M24" s="24"/>
      <c r="N24" s="21"/>
      <c r="O24" s="21"/>
      <c r="P24" s="24"/>
      <c r="Q24" s="24"/>
      <c r="R24" s="21"/>
      <c r="S24" s="21"/>
      <c r="T24" s="24"/>
      <c r="U24" s="24"/>
      <c r="V24" s="21"/>
    </row>
    <row r="25" spans="2:22" s="43" customFormat="1" ht="15.95" customHeight="1" x14ac:dyDescent="0.25"/>
    <row r="26" spans="2:22" ht="24.95" customHeight="1" x14ac:dyDescent="0.25">
      <c r="B26" s="390" t="s">
        <v>242</v>
      </c>
      <c r="C26" s="21"/>
      <c r="D26" s="21"/>
      <c r="E26" s="21"/>
      <c r="F26" s="21"/>
      <c r="G26" s="21"/>
    </row>
    <row r="27" spans="2:22" s="43" customFormat="1" ht="20.100000000000001" customHeight="1" x14ac:dyDescent="0.25">
      <c r="B27" s="490" t="s">
        <v>20</v>
      </c>
      <c r="C27" s="485" t="s">
        <v>47</v>
      </c>
      <c r="D27" s="485"/>
      <c r="E27" s="485" t="s">
        <v>48</v>
      </c>
      <c r="F27" s="485"/>
      <c r="G27" s="485" t="s">
        <v>268</v>
      </c>
      <c r="H27" s="485"/>
    </row>
    <row r="28" spans="2:22" s="43" customFormat="1" ht="30" customHeight="1" x14ac:dyDescent="0.25">
      <c r="B28" s="490"/>
      <c r="C28" s="183" t="s">
        <v>24</v>
      </c>
      <c r="D28" s="183" t="s">
        <v>21</v>
      </c>
      <c r="E28" s="183" t="s">
        <v>24</v>
      </c>
      <c r="F28" s="183" t="s">
        <v>21</v>
      </c>
      <c r="G28" s="50" t="s">
        <v>229</v>
      </c>
      <c r="H28" s="50" t="s">
        <v>230</v>
      </c>
    </row>
    <row r="29" spans="2:22" s="43" customFormat="1" ht="15.95" customHeight="1" x14ac:dyDescent="0.25">
      <c r="B29" s="242">
        <v>100</v>
      </c>
      <c r="C29" s="129">
        <f>B29</f>
        <v>100</v>
      </c>
      <c r="D29" s="242">
        <f>C29*0.1</f>
        <v>10</v>
      </c>
      <c r="E29" s="129">
        <f>C29+D29</f>
        <v>110</v>
      </c>
      <c r="F29" s="129">
        <f>E29*0.1</f>
        <v>11</v>
      </c>
      <c r="G29" s="242">
        <f>D29+F29</f>
        <v>21</v>
      </c>
      <c r="H29" s="261">
        <f>G29/B29</f>
        <v>0.21</v>
      </c>
    </row>
    <row r="30" spans="2:22" s="43" customFormat="1" ht="15.95" customHeight="1" x14ac:dyDescent="0.25">
      <c r="D30" s="261">
        <f>D29/B29</f>
        <v>0.1</v>
      </c>
    </row>
    <row r="31" spans="2:22" s="43" customFormat="1" ht="15.95" customHeight="1" x14ac:dyDescent="0.25"/>
    <row r="32" spans="2:22" s="43" customFormat="1" ht="15.95" customHeight="1" x14ac:dyDescent="0.25">
      <c r="B32" s="40" t="s">
        <v>341</v>
      </c>
    </row>
    <row r="33" spans="2:22" s="43" customFormat="1" ht="15.95" customHeight="1" x14ac:dyDescent="0.25">
      <c r="B33" s="43" t="s">
        <v>260</v>
      </c>
    </row>
    <row r="34" spans="2:22" s="43" customFormat="1" ht="15.95" customHeight="1" x14ac:dyDescent="0.25">
      <c r="B34" s="43" t="s">
        <v>261</v>
      </c>
    </row>
    <row r="35" spans="2:22" s="43" customFormat="1" ht="15.95" customHeight="1" x14ac:dyDescent="0.25">
      <c r="B35" s="43" t="s">
        <v>262</v>
      </c>
    </row>
    <row r="36" spans="2:22" s="43" customFormat="1" ht="15.95" customHeight="1" x14ac:dyDescent="0.25">
      <c r="B36" s="43" t="s">
        <v>287</v>
      </c>
    </row>
    <row r="37" spans="2:22" s="43" customFormat="1" ht="15.95" customHeight="1" x14ac:dyDescent="0.25">
      <c r="B37" s="43" t="s">
        <v>267</v>
      </c>
    </row>
    <row r="38" spans="2:22" s="43" customFormat="1" ht="15.95" customHeight="1" x14ac:dyDescent="0.25"/>
    <row r="39" spans="2:22" s="12" customFormat="1" ht="24.95" customHeight="1" x14ac:dyDescent="0.25">
      <c r="B39" s="383" t="s">
        <v>495</v>
      </c>
      <c r="C39" s="93"/>
      <c r="D39" s="26"/>
      <c r="E39" s="93"/>
      <c r="F39" s="93"/>
      <c r="G39" s="21"/>
      <c r="H39" s="24"/>
      <c r="I39" s="24"/>
      <c r="J39" s="21"/>
      <c r="K39" s="21"/>
      <c r="L39" s="24"/>
      <c r="M39" s="24"/>
      <c r="N39" s="21"/>
      <c r="O39" s="21"/>
      <c r="P39" s="24"/>
      <c r="Q39" s="24"/>
      <c r="R39" s="21"/>
      <c r="S39" s="21"/>
      <c r="T39" s="24"/>
      <c r="U39" s="24"/>
      <c r="V39" s="21"/>
    </row>
    <row r="40" spans="2:22" s="43" customFormat="1" ht="15.95" customHeight="1" x14ac:dyDescent="0.25"/>
    <row r="41" spans="2:22" s="12" customFormat="1" ht="24.95" customHeight="1" x14ac:dyDescent="0.25">
      <c r="B41" s="390" t="s">
        <v>243</v>
      </c>
      <c r="D41" s="21"/>
      <c r="E41" s="21"/>
      <c r="F41" s="21"/>
      <c r="G41" s="21"/>
      <c r="H41" s="21"/>
      <c r="I41" s="21"/>
      <c r="J41" s="21"/>
      <c r="K41" s="21"/>
    </row>
    <row r="42" spans="2:22" s="38" customFormat="1" ht="20.100000000000001" customHeight="1" x14ac:dyDescent="0.25">
      <c r="B42" s="490" t="s">
        <v>20</v>
      </c>
      <c r="C42" s="485" t="s">
        <v>47</v>
      </c>
      <c r="D42" s="485"/>
      <c r="E42" s="485" t="s">
        <v>48</v>
      </c>
      <c r="F42" s="485"/>
      <c r="G42" s="485" t="s">
        <v>269</v>
      </c>
      <c r="H42" s="485"/>
      <c r="I42" s="40"/>
      <c r="J42" s="40"/>
      <c r="K42" s="40"/>
    </row>
    <row r="43" spans="2:22" s="38" customFormat="1" ht="33.75" customHeight="1" x14ac:dyDescent="0.25">
      <c r="B43" s="490"/>
      <c r="C43" s="183" t="s">
        <v>24</v>
      </c>
      <c r="D43" s="183" t="s">
        <v>21</v>
      </c>
      <c r="E43" s="183" t="s">
        <v>24</v>
      </c>
      <c r="F43" s="183" t="s">
        <v>21</v>
      </c>
      <c r="G43" s="50" t="s">
        <v>231</v>
      </c>
      <c r="H43" s="50" t="s">
        <v>232</v>
      </c>
      <c r="I43" s="40"/>
      <c r="J43" s="40"/>
      <c r="K43" s="40"/>
    </row>
    <row r="44" spans="2:22" s="38" customFormat="1" ht="15.95" customHeight="1" x14ac:dyDescent="0.25">
      <c r="B44" s="242">
        <v>100</v>
      </c>
      <c r="C44" s="129">
        <f>B44</f>
        <v>100</v>
      </c>
      <c r="D44" s="242">
        <f>C44*0.1</f>
        <v>10</v>
      </c>
      <c r="E44" s="246">
        <v>100</v>
      </c>
      <c r="F44" s="246">
        <f>E44*0.1</f>
        <v>10</v>
      </c>
      <c r="G44" s="242">
        <f>D44+F44</f>
        <v>20</v>
      </c>
      <c r="H44" s="261">
        <f>G44/B44</f>
        <v>0.2</v>
      </c>
      <c r="I44" s="40"/>
      <c r="J44" s="40"/>
      <c r="K44" s="40"/>
    </row>
    <row r="45" spans="2:22" s="38" customFormat="1" ht="15.95" customHeight="1" x14ac:dyDescent="0.25">
      <c r="C45" s="40"/>
      <c r="D45" s="261">
        <f>D44/B44</f>
        <v>0.1</v>
      </c>
      <c r="E45" s="40"/>
      <c r="F45" s="40"/>
      <c r="G45" s="40"/>
      <c r="H45" s="40"/>
      <c r="I45" s="40"/>
      <c r="J45" s="40"/>
      <c r="K45" s="40"/>
    </row>
    <row r="46" spans="2:22" s="43" customFormat="1" ht="15.95" customHeight="1" x14ac:dyDescent="0.25"/>
    <row r="47" spans="2:22" s="43" customFormat="1" ht="15.95" customHeight="1" x14ac:dyDescent="0.25">
      <c r="B47" s="40" t="s">
        <v>341</v>
      </c>
    </row>
    <row r="48" spans="2:22" s="43" customFormat="1" ht="15.95" customHeight="1" x14ac:dyDescent="0.25">
      <c r="B48" s="43" t="s">
        <v>260</v>
      </c>
    </row>
    <row r="49" spans="2:22" s="43" customFormat="1" ht="15.95" customHeight="1" x14ac:dyDescent="0.25">
      <c r="B49" s="43" t="s">
        <v>261</v>
      </c>
    </row>
    <row r="50" spans="2:22" s="43" customFormat="1" ht="15.95" customHeight="1" x14ac:dyDescent="0.25">
      <c r="B50" s="43" t="s">
        <v>262</v>
      </c>
    </row>
    <row r="51" spans="2:22" s="43" customFormat="1" ht="15.95" customHeight="1" x14ac:dyDescent="0.25">
      <c r="B51" s="43" t="s">
        <v>288</v>
      </c>
    </row>
    <row r="52" spans="2:22" s="43" customFormat="1" ht="15.95" customHeight="1" x14ac:dyDescent="0.25">
      <c r="B52" s="43" t="s">
        <v>321</v>
      </c>
    </row>
    <row r="53" spans="2:22" s="43" customFormat="1" ht="15.95" customHeight="1" x14ac:dyDescent="0.25">
      <c r="B53" s="43" t="s">
        <v>266</v>
      </c>
    </row>
    <row r="54" spans="2:22" s="43" customFormat="1" ht="15.95" customHeight="1" x14ac:dyDescent="0.25"/>
    <row r="55" spans="2:22" s="38" customFormat="1" ht="24.95" customHeight="1" x14ac:dyDescent="0.25">
      <c r="B55" s="383" t="s">
        <v>496</v>
      </c>
      <c r="C55" s="121"/>
      <c r="D55" s="130"/>
      <c r="E55" s="121"/>
      <c r="F55" s="121"/>
      <c r="G55" s="40"/>
      <c r="H55" s="131"/>
      <c r="I55" s="131"/>
      <c r="J55" s="40"/>
      <c r="K55" s="40"/>
      <c r="L55" s="131"/>
      <c r="M55" s="131"/>
      <c r="N55" s="40"/>
      <c r="O55" s="40"/>
      <c r="P55" s="131"/>
      <c r="Q55" s="131"/>
      <c r="R55" s="40"/>
      <c r="S55" s="40"/>
      <c r="T55" s="131"/>
      <c r="U55" s="131"/>
      <c r="V55" s="40"/>
    </row>
    <row r="56" spans="2:22" s="43" customFormat="1" ht="15.95" customHeight="1" x14ac:dyDescent="0.25"/>
    <row r="57" spans="2:22" s="12" customFormat="1" ht="24.95" customHeight="1" x14ac:dyDescent="0.25">
      <c r="B57" s="390" t="s">
        <v>910</v>
      </c>
      <c r="D57" s="21"/>
      <c r="E57" s="21"/>
      <c r="F57" s="21"/>
      <c r="G57" s="21"/>
      <c r="H57" s="21"/>
      <c r="I57" s="21"/>
      <c r="J57" s="21"/>
      <c r="K57" s="21"/>
    </row>
    <row r="58" spans="2:22" s="38" customFormat="1" ht="20.100000000000001" customHeight="1" x14ac:dyDescent="0.25">
      <c r="B58" s="490" t="s">
        <v>20</v>
      </c>
      <c r="C58" s="485" t="s">
        <v>47</v>
      </c>
      <c r="D58" s="485"/>
      <c r="E58" s="485" t="s">
        <v>48</v>
      </c>
      <c r="F58" s="485"/>
      <c r="G58" s="485" t="s">
        <v>270</v>
      </c>
      <c r="H58" s="485"/>
      <c r="I58" s="40"/>
      <c r="J58" s="40"/>
      <c r="K58" s="40"/>
    </row>
    <row r="59" spans="2:22" s="38" customFormat="1" ht="30.75" customHeight="1" x14ac:dyDescent="0.25">
      <c r="B59" s="490"/>
      <c r="C59" s="183" t="s">
        <v>24</v>
      </c>
      <c r="D59" s="183" t="s">
        <v>21</v>
      </c>
      <c r="E59" s="183" t="s">
        <v>24</v>
      </c>
      <c r="F59" s="183" t="s">
        <v>21</v>
      </c>
      <c r="G59" s="50" t="s">
        <v>497</v>
      </c>
      <c r="H59" s="50" t="s">
        <v>498</v>
      </c>
      <c r="I59" s="40"/>
      <c r="J59" s="40"/>
      <c r="K59" s="40"/>
    </row>
    <row r="60" spans="2:22" s="38" customFormat="1" ht="15.95" customHeight="1" x14ac:dyDescent="0.25">
      <c r="B60" s="242">
        <v>100</v>
      </c>
      <c r="C60" s="129">
        <v>0</v>
      </c>
      <c r="D60" s="246">
        <v>0</v>
      </c>
      <c r="E60" s="246">
        <v>10</v>
      </c>
      <c r="F60" s="246">
        <f>E60*0.1</f>
        <v>1</v>
      </c>
      <c r="G60" s="242">
        <f>D60+F60</f>
        <v>1</v>
      </c>
      <c r="H60" s="261">
        <f>G60/B60</f>
        <v>0.01</v>
      </c>
      <c r="I60" s="40"/>
      <c r="J60" s="40"/>
      <c r="K60" s="40"/>
    </row>
    <row r="61" spans="2:22" s="38" customFormat="1" ht="15.95" customHeight="1" x14ac:dyDescent="0.25">
      <c r="C61" s="40"/>
      <c r="D61" s="40"/>
      <c r="E61" s="40"/>
      <c r="F61" s="40"/>
      <c r="G61" s="40"/>
      <c r="H61" s="40"/>
      <c r="I61" s="40"/>
      <c r="J61" s="40"/>
      <c r="K61" s="40"/>
    </row>
    <row r="62" spans="2:22" s="43" customFormat="1" ht="15.95" customHeight="1" x14ac:dyDescent="0.25">
      <c r="B62" s="40" t="s">
        <v>341</v>
      </c>
    </row>
    <row r="63" spans="2:22" s="43" customFormat="1" ht="15.95" customHeight="1" x14ac:dyDescent="0.25">
      <c r="B63" s="43" t="s">
        <v>672</v>
      </c>
    </row>
    <row r="64" spans="2:22" s="43" customFormat="1" ht="15.95" customHeight="1" x14ac:dyDescent="0.25">
      <c r="B64" s="43" t="s">
        <v>271</v>
      </c>
    </row>
    <row r="65" spans="2:3" s="43" customFormat="1" ht="15.95" customHeight="1" x14ac:dyDescent="0.25"/>
    <row r="66" spans="2:3" s="43" customFormat="1" ht="24.95" customHeight="1" x14ac:dyDescent="0.25">
      <c r="B66" s="383" t="s">
        <v>611</v>
      </c>
    </row>
    <row r="67" spans="2:3" s="43" customFormat="1" ht="15.95" customHeight="1" x14ac:dyDescent="0.25">
      <c r="B67" s="43" t="s">
        <v>272</v>
      </c>
    </row>
    <row r="68" spans="2:3" s="43" customFormat="1" ht="15.95" customHeight="1" x14ac:dyDescent="0.25">
      <c r="C68" s="43" t="s">
        <v>342</v>
      </c>
    </row>
    <row r="69" spans="2:3" s="43" customFormat="1" ht="15.95" customHeight="1" x14ac:dyDescent="0.25">
      <c r="B69" s="43" t="s">
        <v>263</v>
      </c>
    </row>
    <row r="70" spans="2:3" s="43" customFormat="1" ht="15.95" customHeight="1" x14ac:dyDescent="0.25">
      <c r="C70" s="43" t="s">
        <v>343</v>
      </c>
    </row>
    <row r="71" spans="2:3" s="43" customFormat="1" ht="15.95" customHeight="1" x14ac:dyDescent="0.25">
      <c r="B71" s="43" t="s">
        <v>641</v>
      </c>
    </row>
    <row r="72" spans="2:3" s="43" customFormat="1" ht="15.95" customHeight="1" x14ac:dyDescent="0.25">
      <c r="B72" s="43" t="s">
        <v>642</v>
      </c>
    </row>
    <row r="73" spans="2:3" s="43" customFormat="1" ht="15.95" customHeight="1" x14ac:dyDescent="0.25">
      <c r="C73" s="43" t="s">
        <v>644</v>
      </c>
    </row>
    <row r="74" spans="2:3" s="43" customFormat="1" ht="15.95" customHeight="1" x14ac:dyDescent="0.25">
      <c r="B74" s="43" t="s">
        <v>264</v>
      </c>
    </row>
    <row r="75" spans="2:3" s="43" customFormat="1" ht="15.95" customHeight="1" x14ac:dyDescent="0.25">
      <c r="C75" s="43" t="s">
        <v>344</v>
      </c>
    </row>
    <row r="76" spans="2:3" s="43" customFormat="1" ht="15.95" customHeight="1" x14ac:dyDescent="0.25">
      <c r="B76" s="43" t="s">
        <v>643</v>
      </c>
    </row>
    <row r="77" spans="2:3" s="43" customFormat="1" ht="15.95" customHeight="1" x14ac:dyDescent="0.25">
      <c r="B77" s="43" t="s">
        <v>642</v>
      </c>
    </row>
    <row r="78" spans="2:3" s="43" customFormat="1" ht="15.95" customHeight="1" x14ac:dyDescent="0.25">
      <c r="C78" s="43" t="s">
        <v>645</v>
      </c>
    </row>
    <row r="79" spans="2:3" s="43" customFormat="1" ht="15.95" customHeight="1" x14ac:dyDescent="0.25">
      <c r="B79" s="43" t="s">
        <v>265</v>
      </c>
    </row>
    <row r="80" spans="2:3" s="43" customFormat="1" ht="15.95" customHeight="1" x14ac:dyDescent="0.25"/>
    <row r="81" spans="1:9" s="38" customFormat="1" ht="15.95" customHeight="1" x14ac:dyDescent="0.25">
      <c r="B81" s="597" t="s">
        <v>728</v>
      </c>
      <c r="C81" s="598"/>
      <c r="D81" s="598"/>
      <c r="E81" s="598"/>
      <c r="F81" s="598"/>
      <c r="G81" s="599"/>
    </row>
    <row r="82" spans="1:9" s="38" customFormat="1" ht="15.95" customHeight="1" x14ac:dyDescent="0.25">
      <c r="B82" s="600"/>
      <c r="C82" s="601"/>
      <c r="D82" s="601"/>
      <c r="E82" s="601"/>
      <c r="F82" s="601"/>
      <c r="G82" s="602"/>
      <c r="H82" s="396"/>
      <c r="I82" s="396"/>
    </row>
    <row r="83" spans="1:9" s="38" customFormat="1" ht="15.95" customHeight="1" x14ac:dyDescent="0.25">
      <c r="B83" s="600"/>
      <c r="C83" s="601"/>
      <c r="D83" s="601"/>
      <c r="E83" s="601"/>
      <c r="F83" s="601"/>
      <c r="G83" s="602"/>
      <c r="H83" s="396"/>
      <c r="I83" s="396"/>
    </row>
    <row r="84" spans="1:9" s="38" customFormat="1" ht="15.95" customHeight="1" x14ac:dyDescent="0.25">
      <c r="B84" s="600"/>
      <c r="C84" s="601"/>
      <c r="D84" s="601"/>
      <c r="E84" s="601"/>
      <c r="F84" s="601"/>
      <c r="G84" s="602"/>
      <c r="H84" s="396"/>
      <c r="I84" s="396"/>
    </row>
    <row r="85" spans="1:9" s="38" customFormat="1" ht="15.95" customHeight="1" x14ac:dyDescent="0.25">
      <c r="B85" s="600"/>
      <c r="C85" s="601"/>
      <c r="D85" s="601"/>
      <c r="E85" s="601"/>
      <c r="F85" s="601"/>
      <c r="G85" s="602"/>
      <c r="H85" s="396"/>
      <c r="I85" s="396"/>
    </row>
    <row r="86" spans="1:9" s="38" customFormat="1" ht="15.95" customHeight="1" x14ac:dyDescent="0.25">
      <c r="B86" s="603"/>
      <c r="C86" s="604"/>
      <c r="D86" s="604"/>
      <c r="E86" s="604"/>
      <c r="F86" s="604"/>
      <c r="G86" s="605"/>
      <c r="H86" s="388"/>
      <c r="I86" s="388"/>
    </row>
    <row r="87" spans="1:9" s="43" customFormat="1" ht="15.95" customHeight="1" x14ac:dyDescent="0.25"/>
    <row r="88" spans="1:9" s="43" customFormat="1" ht="24.95" customHeight="1" x14ac:dyDescent="0.25">
      <c r="A88" s="378" t="s">
        <v>378</v>
      </c>
    </row>
    <row r="89" spans="1:9" s="43" customFormat="1" ht="15.95" customHeight="1" x14ac:dyDescent="0.25">
      <c r="A89" s="378"/>
      <c r="B89" s="43" t="s">
        <v>256</v>
      </c>
    </row>
    <row r="90" spans="1:9" ht="15.95" customHeight="1" x14ac:dyDescent="0.25">
      <c r="B90" t="s">
        <v>82</v>
      </c>
    </row>
    <row r="91" spans="1:9" ht="15.95" customHeight="1" x14ac:dyDescent="0.25">
      <c r="B91" t="s">
        <v>273</v>
      </c>
    </row>
    <row r="92" spans="1:9" ht="15.95" customHeight="1" x14ac:dyDescent="0.25">
      <c r="B92" t="s">
        <v>274</v>
      </c>
    </row>
    <row r="93" spans="1:9" s="38" customFormat="1" ht="15.95" customHeight="1" x14ac:dyDescent="0.25"/>
    <row r="94" spans="1:9" s="43" customFormat="1" ht="20.100000000000001" customHeight="1" x14ac:dyDescent="0.25">
      <c r="A94" s="83"/>
      <c r="C94" s="384" t="s">
        <v>653</v>
      </c>
    </row>
    <row r="95" spans="1:9" s="111" customFormat="1" ht="15.95" customHeight="1" x14ac:dyDescent="0.25">
      <c r="A95" s="44"/>
    </row>
    <row r="96" spans="1:9" s="43" customFormat="1" ht="24.95" customHeight="1" x14ac:dyDescent="0.25">
      <c r="C96" s="390" t="s">
        <v>33</v>
      </c>
    </row>
    <row r="97" spans="1:15" ht="15.95" customHeight="1" x14ac:dyDescent="0.25">
      <c r="C97" s="596" t="s">
        <v>2</v>
      </c>
      <c r="D97" s="596"/>
      <c r="E97" s="11" t="s">
        <v>3</v>
      </c>
      <c r="F97" s="75">
        <f>'Os juros sobre juros'!$E$32</f>
        <v>3.1600000000000003E-2</v>
      </c>
    </row>
    <row r="98" spans="1:15" ht="15.95" customHeight="1" x14ac:dyDescent="0.25">
      <c r="C98" s="596" t="s">
        <v>7</v>
      </c>
      <c r="D98" s="596"/>
      <c r="E98" s="11" t="s">
        <v>8</v>
      </c>
      <c r="F98" s="75">
        <f>'Os juros sobre juros'!$E$36</f>
        <v>0.37919999999999998</v>
      </c>
    </row>
    <row r="99" spans="1:15" ht="15.95" customHeight="1" x14ac:dyDescent="0.25">
      <c r="C99" s="596" t="s">
        <v>9</v>
      </c>
      <c r="D99" s="596"/>
      <c r="E99" s="11" t="s">
        <v>10</v>
      </c>
      <c r="F99" s="75">
        <f>'Os juros sobre juros'!$E$37</f>
        <v>0.45256600000000002</v>
      </c>
    </row>
    <row r="100" spans="1:15" s="43" customFormat="1" ht="15.95" customHeight="1" x14ac:dyDescent="0.25">
      <c r="A100" s="83"/>
    </row>
    <row r="101" spans="1:15" s="38" customFormat="1" ht="15.95" customHeight="1" x14ac:dyDescent="0.25">
      <c r="B101" s="38" t="s">
        <v>539</v>
      </c>
    </row>
    <row r="102" spans="1:15" s="38" customFormat="1" ht="15.95" customHeight="1" x14ac:dyDescent="0.25">
      <c r="B102" s="38" t="s">
        <v>737</v>
      </c>
    </row>
    <row r="103" spans="1:15" ht="15.95" customHeight="1" x14ac:dyDescent="0.25"/>
    <row r="104" spans="1:15" s="43" customFormat="1" ht="24.95" customHeight="1" x14ac:dyDescent="0.25">
      <c r="B104" s="390" t="s">
        <v>336</v>
      </c>
      <c r="I104" s="45"/>
    </row>
    <row r="105" spans="1:15" s="43" customFormat="1" ht="20.100000000000001" customHeight="1" x14ac:dyDescent="0.25">
      <c r="B105" s="594" t="s">
        <v>19</v>
      </c>
      <c r="C105" s="594" t="s">
        <v>17</v>
      </c>
      <c r="D105" s="594" t="s">
        <v>20</v>
      </c>
      <c r="E105" s="593" t="s">
        <v>135</v>
      </c>
      <c r="F105" s="593"/>
      <c r="G105" s="593" t="s">
        <v>167</v>
      </c>
      <c r="H105" s="593"/>
      <c r="J105" s="593" t="s">
        <v>25</v>
      </c>
      <c r="K105" s="593"/>
      <c r="M105" s="593" t="s">
        <v>26</v>
      </c>
      <c r="N105" s="593"/>
    </row>
    <row r="106" spans="1:15" s="43" customFormat="1" ht="33" customHeight="1" x14ac:dyDescent="0.25">
      <c r="B106" s="594"/>
      <c r="C106" s="594"/>
      <c r="D106" s="594"/>
      <c r="E106" s="185" t="s">
        <v>63</v>
      </c>
      <c r="F106" s="185" t="s">
        <v>134</v>
      </c>
      <c r="G106" s="185" t="s">
        <v>63</v>
      </c>
      <c r="H106" s="185" t="s">
        <v>134</v>
      </c>
      <c r="J106" s="185" t="s">
        <v>63</v>
      </c>
      <c r="K106" s="185" t="s">
        <v>134</v>
      </c>
      <c r="M106" s="185" t="s">
        <v>63</v>
      </c>
      <c r="N106" s="185" t="s">
        <v>134</v>
      </c>
    </row>
    <row r="107" spans="1:15" ht="21" customHeight="1" x14ac:dyDescent="0.25">
      <c r="B107" s="78">
        <f>'Os juros sobre juros'!$B$378</f>
        <v>12</v>
      </c>
      <c r="C107" s="10">
        <f>'Os juros sobre juros'!$C$378</f>
        <v>331.89250191718025</v>
      </c>
      <c r="D107" s="73">
        <f>'Os juros sobre juros'!$D$378</f>
        <v>228.48697048904467</v>
      </c>
      <c r="E107" s="73">
        <f>'Os juros sobre juros'!$K$378</f>
        <v>7.2201882674538123</v>
      </c>
      <c r="F107" s="74">
        <f>E107/D107</f>
        <v>3.1600000000000003E-2</v>
      </c>
      <c r="G107" s="73">
        <f>'Os juros sobre juros'!$E$378</f>
        <v>103.40553142813559</v>
      </c>
      <c r="H107" s="74">
        <f>G107/D107</f>
        <v>0.45256642515242945</v>
      </c>
      <c r="J107" s="73">
        <f>'Os juros sobre juros'!$EU$378</f>
        <v>86.64225920944574</v>
      </c>
      <c r="K107" s="74">
        <f>J107/D107</f>
        <v>0.37920000000000004</v>
      </c>
      <c r="M107" s="73">
        <f>'Os juros sobre juros'!$EV$378</f>
        <v>16.763272218689849</v>
      </c>
      <c r="N107" s="4">
        <f>M107/D107</f>
        <v>7.3366425152429443E-2</v>
      </c>
    </row>
    <row r="108" spans="1:15" s="43" customFormat="1" ht="15.95" customHeight="1" x14ac:dyDescent="0.25">
      <c r="D108" s="527" t="s">
        <v>237</v>
      </c>
      <c r="E108" s="529" t="s">
        <v>236</v>
      </c>
      <c r="F108" s="530"/>
      <c r="G108" s="529" t="s">
        <v>80</v>
      </c>
      <c r="H108" s="530"/>
      <c r="J108" s="529" t="s">
        <v>81</v>
      </c>
      <c r="K108" s="530"/>
      <c r="M108" s="595" t="s">
        <v>79</v>
      </c>
      <c r="N108" s="595"/>
      <c r="O108" s="5"/>
    </row>
    <row r="109" spans="1:15" s="43" customFormat="1" ht="15.95" customHeight="1" x14ac:dyDescent="0.25">
      <c r="D109" s="528"/>
      <c r="E109" s="531"/>
      <c r="F109" s="532"/>
      <c r="G109" s="531"/>
      <c r="H109" s="532"/>
      <c r="J109" s="531"/>
      <c r="K109" s="532"/>
      <c r="M109" s="595"/>
      <c r="N109" s="595"/>
    </row>
    <row r="110" spans="1:15" s="43" customFormat="1" ht="15.95" customHeight="1" x14ac:dyDescent="0.25"/>
    <row r="111" spans="1:15" s="43" customFormat="1" ht="15.95" customHeight="1" x14ac:dyDescent="0.25">
      <c r="B111" s="43" t="s">
        <v>618</v>
      </c>
    </row>
    <row r="112" spans="1:15" s="43" customFormat="1" ht="15.95" customHeight="1" x14ac:dyDescent="0.25">
      <c r="C112" s="3"/>
      <c r="D112" s="262"/>
    </row>
    <row r="113" spans="2:13" s="43" customFormat="1" ht="15.95" customHeight="1" x14ac:dyDescent="0.25">
      <c r="C113" s="141">
        <f>$D$107</f>
        <v>228.48697048904467</v>
      </c>
      <c r="D113" s="144" t="s">
        <v>313</v>
      </c>
    </row>
    <row r="114" spans="2:13" s="43" customFormat="1" ht="15.95" customHeight="1" x14ac:dyDescent="0.25">
      <c r="C114" s="141">
        <f>$E$107</f>
        <v>7.2201882674538123</v>
      </c>
      <c r="D114" s="144" t="s">
        <v>168</v>
      </c>
    </row>
    <row r="115" spans="2:13" s="43" customFormat="1" ht="15.95" customHeight="1" x14ac:dyDescent="0.25">
      <c r="C115" s="141">
        <f>$J$107</f>
        <v>86.64225920944574</v>
      </c>
      <c r="D115" s="262" t="s">
        <v>294</v>
      </c>
    </row>
    <row r="116" spans="2:13" s="43" customFormat="1" ht="15.95" customHeight="1" x14ac:dyDescent="0.25">
      <c r="C116" s="141">
        <f>$G$107</f>
        <v>103.40553142813559</v>
      </c>
      <c r="D116" s="144" t="s">
        <v>293</v>
      </c>
    </row>
    <row r="117" spans="2:13" s="43" customFormat="1" ht="15.95" customHeight="1" x14ac:dyDescent="0.25">
      <c r="C117" s="141">
        <f>$M$107</f>
        <v>16.763272218689849</v>
      </c>
      <c r="D117" s="262" t="s">
        <v>295</v>
      </c>
    </row>
    <row r="118" spans="2:13" s="43" customFormat="1" ht="15.95" customHeight="1" x14ac:dyDescent="0.25">
      <c r="C118" s="3"/>
      <c r="D118" s="262"/>
    </row>
    <row r="119" spans="2:13" s="43" customFormat="1" ht="24.95" customHeight="1" x14ac:dyDescent="0.25">
      <c r="B119" s="384" t="s">
        <v>670</v>
      </c>
      <c r="C119" s="3"/>
      <c r="D119" s="262"/>
    </row>
    <row r="120" spans="2:13" s="43" customFormat="1" ht="15.95" customHeight="1" x14ac:dyDescent="0.25">
      <c r="I120" s="117"/>
      <c r="K120" s="117"/>
      <c r="M120" s="117"/>
    </row>
    <row r="121" spans="2:13" s="43" customFormat="1" ht="15.95" customHeight="1" x14ac:dyDescent="0.25">
      <c r="B121" s="43" t="s">
        <v>678</v>
      </c>
      <c r="I121" s="141">
        <f>$E$107</f>
        <v>7.2201882674538123</v>
      </c>
      <c r="K121" s="141">
        <f>$D$107</f>
        <v>228.48697048904467</v>
      </c>
      <c r="M121" s="74">
        <f>$F$107</f>
        <v>3.1600000000000003E-2</v>
      </c>
    </row>
    <row r="122" spans="2:13" s="43" customFormat="1" ht="15.95" customHeight="1" x14ac:dyDescent="0.25">
      <c r="B122" s="43" t="s">
        <v>325</v>
      </c>
      <c r="I122" s="117" t="s">
        <v>280</v>
      </c>
      <c r="K122" s="117" t="s">
        <v>276</v>
      </c>
      <c r="M122" s="117" t="s">
        <v>281</v>
      </c>
    </row>
    <row r="123" spans="2:13" s="43" customFormat="1" ht="15.95" customHeight="1" x14ac:dyDescent="0.25"/>
    <row r="124" spans="2:13" s="43" customFormat="1" ht="15.95" customHeight="1" x14ac:dyDescent="0.25">
      <c r="B124" s="43" t="s">
        <v>677</v>
      </c>
      <c r="I124" s="141">
        <f>$J$107</f>
        <v>86.64225920944574</v>
      </c>
      <c r="K124" s="141">
        <f>$D$107</f>
        <v>228.48697048904467</v>
      </c>
      <c r="M124" s="74">
        <f>$K$107</f>
        <v>0.37920000000000004</v>
      </c>
    </row>
    <row r="125" spans="2:13" s="43" customFormat="1" ht="15.95" customHeight="1" x14ac:dyDescent="0.25">
      <c r="I125" s="117" t="s">
        <v>278</v>
      </c>
      <c r="K125" s="117" t="s">
        <v>276</v>
      </c>
      <c r="M125" s="117" t="s">
        <v>279</v>
      </c>
    </row>
    <row r="126" spans="2:13" s="43" customFormat="1" ht="15.95" customHeight="1" x14ac:dyDescent="0.25"/>
    <row r="127" spans="2:13" s="43" customFormat="1" ht="15.95" customHeight="1" x14ac:dyDescent="0.25">
      <c r="B127" s="43" t="s">
        <v>676</v>
      </c>
      <c r="I127" s="141">
        <f>$G$107</f>
        <v>103.40553142813559</v>
      </c>
      <c r="K127" s="141">
        <f>$D$107</f>
        <v>228.48697048904467</v>
      </c>
      <c r="M127" s="74">
        <f>$H$107</f>
        <v>0.45256642515242945</v>
      </c>
    </row>
    <row r="128" spans="2:13" s="43" customFormat="1" ht="15.95" customHeight="1" x14ac:dyDescent="0.25">
      <c r="I128" s="117" t="s">
        <v>275</v>
      </c>
      <c r="K128" s="117" t="s">
        <v>276</v>
      </c>
      <c r="M128" s="117" t="s">
        <v>277</v>
      </c>
    </row>
    <row r="129" spans="1:20" s="43" customFormat="1" ht="15.95" customHeight="1" x14ac:dyDescent="0.25">
      <c r="I129" s="117"/>
      <c r="K129" s="117"/>
      <c r="M129" s="117"/>
    </row>
    <row r="130" spans="1:20" s="43" customFormat="1" ht="24.95" customHeight="1" x14ac:dyDescent="0.25">
      <c r="B130" s="384" t="s">
        <v>671</v>
      </c>
      <c r="I130" s="117"/>
      <c r="K130" s="117"/>
      <c r="M130" s="117"/>
    </row>
    <row r="131" spans="1:20" s="43" customFormat="1" ht="15.95" customHeight="1" x14ac:dyDescent="0.25"/>
    <row r="132" spans="1:20" s="43" customFormat="1" ht="15.95" customHeight="1" x14ac:dyDescent="0.25">
      <c r="B132" s="43" t="s">
        <v>297</v>
      </c>
      <c r="I132" s="141">
        <f>$J$107</f>
        <v>86.64225920944574</v>
      </c>
      <c r="J132" s="144" t="s">
        <v>169</v>
      </c>
    </row>
    <row r="133" spans="1:20" s="43" customFormat="1" ht="15.95" customHeight="1" x14ac:dyDescent="0.25">
      <c r="B133" s="43" t="s">
        <v>174</v>
      </c>
      <c r="I133" s="141">
        <f>$E$107*12</f>
        <v>86.64225920944574</v>
      </c>
      <c r="J133" s="144" t="s">
        <v>569</v>
      </c>
      <c r="M133" s="141">
        <f>$E$107</f>
        <v>7.2201882674538123</v>
      </c>
      <c r="O133" s="142">
        <v>12</v>
      </c>
    </row>
    <row r="134" spans="1:20" s="43" customFormat="1" ht="15.95" customHeight="1" x14ac:dyDescent="0.25"/>
    <row r="135" spans="1:20" s="43" customFormat="1" ht="15.95" customHeight="1" x14ac:dyDescent="0.25">
      <c r="B135" s="43" t="s">
        <v>298</v>
      </c>
      <c r="I135" s="141">
        <f>$G$107</f>
        <v>103.40553142813559</v>
      </c>
      <c r="J135" s="144" t="s">
        <v>170</v>
      </c>
    </row>
    <row r="136" spans="1:20" s="43" customFormat="1" ht="15.95" customHeight="1" x14ac:dyDescent="0.25">
      <c r="B136" s="43" t="s">
        <v>174</v>
      </c>
      <c r="I136" s="141">
        <f>$E$107*12</f>
        <v>86.64225920944574</v>
      </c>
      <c r="J136" s="144" t="s">
        <v>569</v>
      </c>
      <c r="M136" s="141">
        <f>$E$107</f>
        <v>7.2201882674538123</v>
      </c>
      <c r="O136" s="142">
        <v>12</v>
      </c>
    </row>
    <row r="137" spans="1:20" s="43" customFormat="1" ht="15.95" customHeight="1" x14ac:dyDescent="0.25">
      <c r="I137" s="141">
        <f>I135-I136</f>
        <v>16.763272218689849</v>
      </c>
      <c r="J137" s="262" t="s">
        <v>171</v>
      </c>
    </row>
    <row r="138" spans="1:20" s="43" customFormat="1" ht="15.95" customHeight="1" x14ac:dyDescent="0.25"/>
    <row r="139" spans="1:20" s="43" customFormat="1" ht="15.95" customHeight="1" x14ac:dyDescent="0.25">
      <c r="B139" s="43" t="s">
        <v>172</v>
      </c>
      <c r="I139" s="141">
        <f>$M$107</f>
        <v>16.763272218689849</v>
      </c>
      <c r="J139" s="262" t="s">
        <v>173</v>
      </c>
    </row>
    <row r="140" spans="1:20" s="43" customFormat="1" ht="15.95" customHeight="1" x14ac:dyDescent="0.25">
      <c r="I140" s="3"/>
      <c r="J140" s="115"/>
    </row>
    <row r="141" spans="1:20" s="43" customFormat="1" ht="24.95" customHeight="1" x14ac:dyDescent="0.25">
      <c r="A141" s="378" t="s">
        <v>499</v>
      </c>
    </row>
    <row r="142" spans="1:20" s="43" customFormat="1" ht="15.95" customHeight="1" x14ac:dyDescent="0.25">
      <c r="B142" s="43" t="s">
        <v>490</v>
      </c>
      <c r="E142" s="38"/>
    </row>
    <row r="143" spans="1:20" s="43" customFormat="1" ht="15.95" customHeight="1" x14ac:dyDescent="0.25">
      <c r="B143" s="43" t="s">
        <v>491</v>
      </c>
      <c r="N143" s="263"/>
    </row>
    <row r="144" spans="1:20" s="43" customFormat="1" ht="15.95" customHeight="1" x14ac:dyDescent="0.25">
      <c r="B144" s="43" t="s">
        <v>492</v>
      </c>
      <c r="I144" s="264"/>
      <c r="T144" s="265"/>
    </row>
    <row r="145" spans="1:20" s="43" customFormat="1" ht="15.95" customHeight="1" x14ac:dyDescent="0.25">
      <c r="B145" s="43" t="s">
        <v>493</v>
      </c>
      <c r="I145" s="264"/>
      <c r="T145" s="265"/>
    </row>
    <row r="146" spans="1:20" s="43" customFormat="1" ht="15.95" customHeight="1" x14ac:dyDescent="0.25">
      <c r="B146" s="43" t="s">
        <v>67</v>
      </c>
      <c r="I146" s="264"/>
      <c r="T146" s="265"/>
    </row>
    <row r="147" spans="1:20" s="43" customFormat="1" ht="15.95" customHeight="1" x14ac:dyDescent="0.25">
      <c r="B147" s="43" t="s">
        <v>68</v>
      </c>
      <c r="I147" s="264"/>
      <c r="T147" s="265"/>
    </row>
    <row r="148" spans="1:20" s="43" customFormat="1" ht="15.95" customHeight="1" x14ac:dyDescent="0.25">
      <c r="B148" s="43" t="s">
        <v>69</v>
      </c>
      <c r="T148" s="265"/>
    </row>
    <row r="149" spans="1:20" s="43" customFormat="1" ht="15.95" customHeight="1" x14ac:dyDescent="0.25">
      <c r="B149" s="43" t="s">
        <v>715</v>
      </c>
      <c r="H149" s="182"/>
      <c r="T149" s="265"/>
    </row>
    <row r="150" spans="1:20" s="43" customFormat="1" ht="15.95" customHeight="1" x14ac:dyDescent="0.25">
      <c r="H150" s="182"/>
      <c r="T150" s="265"/>
    </row>
    <row r="151" spans="1:20" s="274" customFormat="1" ht="24.95" customHeight="1" x14ac:dyDescent="0.25">
      <c r="A151" s="380" t="s">
        <v>683</v>
      </c>
    </row>
    <row r="152" spans="1:20" s="43" customFormat="1" ht="15.95" customHeight="1" x14ac:dyDescent="0.25">
      <c r="B152" s="43" t="s">
        <v>681</v>
      </c>
      <c r="H152" s="182"/>
      <c r="T152" s="265"/>
    </row>
    <row r="153" spans="1:20" s="43" customFormat="1" ht="15.95" customHeight="1" x14ac:dyDescent="0.25">
      <c r="B153" s="43" t="s">
        <v>500</v>
      </c>
      <c r="H153" s="182"/>
      <c r="T153" s="265"/>
    </row>
    <row r="154" spans="1:20" s="43" customFormat="1" ht="15.95" customHeight="1" x14ac:dyDescent="0.25">
      <c r="B154" s="43" t="s">
        <v>710</v>
      </c>
      <c r="H154" s="182"/>
      <c r="T154" s="265"/>
    </row>
    <row r="155" spans="1:20" s="43" customFormat="1" ht="15.95" customHeight="1" x14ac:dyDescent="0.25">
      <c r="B155" s="43" t="s">
        <v>682</v>
      </c>
      <c r="H155" s="182"/>
      <c r="T155" s="265"/>
    </row>
    <row r="156" spans="1:20" s="43" customFormat="1" ht="15.95" customHeight="1" x14ac:dyDescent="0.25">
      <c r="H156" s="182"/>
      <c r="T156" s="265"/>
    </row>
    <row r="157" spans="1:20" s="43" customFormat="1" ht="24.95" customHeight="1" x14ac:dyDescent="0.25">
      <c r="B157" s="390" t="s">
        <v>132</v>
      </c>
      <c r="H157" s="182"/>
      <c r="T157" s="265"/>
    </row>
    <row r="158" spans="1:20" s="43" customFormat="1" ht="24.95" customHeight="1" x14ac:dyDescent="0.25">
      <c r="F158" s="390" t="s">
        <v>572</v>
      </c>
      <c r="G158" s="376"/>
      <c r="H158" s="376"/>
      <c r="I158" s="376"/>
      <c r="J158" s="376"/>
      <c r="K158" s="376"/>
      <c r="L158" s="376"/>
      <c r="M158" s="376"/>
      <c r="N158" s="376"/>
      <c r="O158" s="376"/>
      <c r="P158" s="376"/>
    </row>
    <row r="159" spans="1:20" ht="20.100000000000001" customHeight="1" x14ac:dyDescent="0.25">
      <c r="B159" s="594" t="s">
        <v>66</v>
      </c>
      <c r="C159" s="606"/>
      <c r="D159" s="606"/>
      <c r="F159" s="578" t="s">
        <v>620</v>
      </c>
      <c r="G159" s="579"/>
      <c r="H159" s="407"/>
      <c r="I159" s="578" t="s">
        <v>619</v>
      </c>
      <c r="J159" s="579"/>
      <c r="K159" s="407"/>
      <c r="L159" s="578" t="s">
        <v>621</v>
      </c>
      <c r="M159" s="579"/>
      <c r="N159" s="407"/>
      <c r="O159" s="578" t="s">
        <v>622</v>
      </c>
      <c r="P159" s="579"/>
    </row>
    <row r="160" spans="1:20" ht="20.100000000000001" customHeight="1" x14ac:dyDescent="0.25">
      <c r="B160" s="340" t="s">
        <v>64</v>
      </c>
      <c r="C160" s="341" t="s">
        <v>24</v>
      </c>
      <c r="D160" s="340" t="s">
        <v>65</v>
      </c>
      <c r="F160" s="400" t="s">
        <v>65</v>
      </c>
      <c r="G160" s="410"/>
      <c r="H160" s="47"/>
      <c r="I160" s="410"/>
      <c r="J160" s="401"/>
      <c r="K160" s="47"/>
      <c r="L160" s="410"/>
      <c r="M160" s="401"/>
      <c r="N160" s="47"/>
      <c r="O160" s="410"/>
      <c r="P160" s="401"/>
    </row>
    <row r="161" spans="2:16" s="43" customFormat="1" ht="15.95" customHeight="1" x14ac:dyDescent="0.25">
      <c r="B161" s="9">
        <v>1</v>
      </c>
      <c r="C161" s="141">
        <f>VLOOKUP(15,Tabela_06,3,0)</f>
        <v>208.12652784473903</v>
      </c>
      <c r="D161" s="141">
        <f>$F$97*C161</f>
        <v>6.5767982798937537</v>
      </c>
      <c r="F161" s="331">
        <f>D161</f>
        <v>6.5767982798937537</v>
      </c>
      <c r="G161" s="591" t="s">
        <v>607</v>
      </c>
      <c r="H161" s="47"/>
      <c r="I161" s="400" t="s">
        <v>65</v>
      </c>
      <c r="J161" s="401"/>
      <c r="K161" s="47"/>
      <c r="L161" s="411"/>
      <c r="M161" s="401"/>
      <c r="N161" s="47"/>
      <c r="O161" s="410"/>
      <c r="P161" s="401"/>
    </row>
    <row r="162" spans="2:16" s="43" customFormat="1" ht="15.95" customHeight="1" x14ac:dyDescent="0.25">
      <c r="B162" s="9">
        <f>B161+1</f>
        <v>2</v>
      </c>
      <c r="C162" s="141">
        <f>C161+D161</f>
        <v>214.70332612463278</v>
      </c>
      <c r="D162" s="141">
        <f t="shared" ref="D162:D175" si="0">$F$97*$C162</f>
        <v>6.7846251055383968</v>
      </c>
      <c r="F162" s="331">
        <f t="shared" ref="F162:F172" si="1">D162</f>
        <v>6.7846251055383968</v>
      </c>
      <c r="G162" s="592"/>
      <c r="H162" s="47"/>
      <c r="I162" s="331">
        <f>D162</f>
        <v>6.7846251055383968</v>
      </c>
      <c r="J162" s="589" t="s">
        <v>608</v>
      </c>
      <c r="K162" s="47"/>
      <c r="L162" s="400" t="s">
        <v>65</v>
      </c>
      <c r="M162" s="401"/>
      <c r="N162" s="47"/>
      <c r="O162" s="410"/>
      <c r="P162" s="401"/>
    </row>
    <row r="163" spans="2:16" s="43" customFormat="1" ht="15.95" customHeight="1" x14ac:dyDescent="0.25">
      <c r="B163" s="9">
        <f t="shared" ref="B163:B175" si="2">B162+1</f>
        <v>3</v>
      </c>
      <c r="C163" s="141">
        <f t="shared" ref="C163:C175" si="3">C162+D162</f>
        <v>221.48795123017118</v>
      </c>
      <c r="D163" s="141">
        <f t="shared" si="0"/>
        <v>6.9990192588734095</v>
      </c>
      <c r="F163" s="331">
        <f t="shared" si="1"/>
        <v>6.9990192588734095</v>
      </c>
      <c r="G163" s="141">
        <f>SUM($D$161:$D$172)</f>
        <v>94.191078686080957</v>
      </c>
      <c r="H163" s="47"/>
      <c r="I163" s="331">
        <f t="shared" ref="I163:I173" si="4">D163</f>
        <v>6.9990192588734095</v>
      </c>
      <c r="J163" s="590"/>
      <c r="K163" s="47"/>
      <c r="L163" s="331">
        <f>D163</f>
        <v>6.9990192588734095</v>
      </c>
      <c r="M163" s="589" t="s">
        <v>609</v>
      </c>
      <c r="N163" s="47"/>
      <c r="O163" s="400" t="s">
        <v>65</v>
      </c>
      <c r="P163" s="401"/>
    </row>
    <row r="164" spans="2:16" s="43" customFormat="1" ht="15.95" customHeight="1" x14ac:dyDescent="0.25">
      <c r="B164" s="9">
        <f t="shared" si="2"/>
        <v>4</v>
      </c>
      <c r="C164" s="141">
        <f t="shared" si="3"/>
        <v>228.48697048904458</v>
      </c>
      <c r="D164" s="141">
        <f t="shared" si="0"/>
        <v>7.2201882674538096</v>
      </c>
      <c r="F164" s="331">
        <f t="shared" si="1"/>
        <v>7.2201882674538096</v>
      </c>
      <c r="G164" s="171"/>
      <c r="H164" s="47"/>
      <c r="I164" s="331">
        <f t="shared" si="4"/>
        <v>7.2201882674538096</v>
      </c>
      <c r="J164" s="141">
        <f>SUM($D$162:$D$173)</f>
        <v>97.167516772561115</v>
      </c>
      <c r="K164" s="47"/>
      <c r="L164" s="331">
        <f t="shared" ref="L164:L174" si="5">D164</f>
        <v>7.2201882674538096</v>
      </c>
      <c r="M164" s="590"/>
      <c r="N164" s="47"/>
      <c r="O164" s="331">
        <f>D164</f>
        <v>7.2201882674538096</v>
      </c>
      <c r="P164" s="589" t="s">
        <v>610</v>
      </c>
    </row>
    <row r="165" spans="2:16" s="43" customFormat="1" ht="15.95" customHeight="1" x14ac:dyDescent="0.25">
      <c r="B165" s="9">
        <f t="shared" si="2"/>
        <v>5</v>
      </c>
      <c r="C165" s="141">
        <f t="shared" si="3"/>
        <v>235.70715875649839</v>
      </c>
      <c r="D165" s="141">
        <f t="shared" si="0"/>
        <v>7.4483462167053496</v>
      </c>
      <c r="F165" s="331">
        <f t="shared" si="1"/>
        <v>7.4483462167053496</v>
      </c>
      <c r="G165" s="171"/>
      <c r="H165" s="47"/>
      <c r="I165" s="331">
        <f t="shared" si="4"/>
        <v>7.4483462167053496</v>
      </c>
      <c r="J165" s="171"/>
      <c r="K165" s="47"/>
      <c r="L165" s="331">
        <f t="shared" si="5"/>
        <v>7.4483462167053496</v>
      </c>
      <c r="M165" s="141">
        <f>SUM($D$163:$D$174)</f>
        <v>100.23801030257404</v>
      </c>
      <c r="N165" s="47"/>
      <c r="O165" s="331">
        <f t="shared" ref="O165:O175" si="6">D165</f>
        <v>7.4483462167053496</v>
      </c>
      <c r="P165" s="590"/>
    </row>
    <row r="166" spans="2:16" s="43" customFormat="1" ht="15.95" customHeight="1" x14ac:dyDescent="0.25">
      <c r="B166" s="9">
        <f t="shared" si="2"/>
        <v>6</v>
      </c>
      <c r="C166" s="141">
        <f t="shared" si="3"/>
        <v>243.15550497320373</v>
      </c>
      <c r="D166" s="141">
        <f t="shared" si="0"/>
        <v>7.6837139571532385</v>
      </c>
      <c r="F166" s="331">
        <f t="shared" si="1"/>
        <v>7.6837139571532385</v>
      </c>
      <c r="G166" s="330" t="s">
        <v>573</v>
      </c>
      <c r="H166" s="47"/>
      <c r="I166" s="331">
        <f t="shared" si="4"/>
        <v>7.6837139571532385</v>
      </c>
      <c r="J166" s="171"/>
      <c r="K166" s="47"/>
      <c r="L166" s="331">
        <f t="shared" si="5"/>
        <v>7.6837139571532385</v>
      </c>
      <c r="M166" s="171"/>
      <c r="N166" s="47"/>
      <c r="O166" s="331">
        <f t="shared" si="6"/>
        <v>7.6837139571532385</v>
      </c>
      <c r="P166" s="141">
        <f>SUM($D$164:$D$175)</f>
        <v>103.40553142813539</v>
      </c>
    </row>
    <row r="167" spans="2:16" s="43" customFormat="1" ht="15.95" customHeight="1" x14ac:dyDescent="0.25">
      <c r="B167" s="9">
        <f t="shared" si="2"/>
        <v>7</v>
      </c>
      <c r="C167" s="141">
        <f t="shared" si="3"/>
        <v>250.83921893035696</v>
      </c>
      <c r="D167" s="141">
        <f t="shared" si="0"/>
        <v>7.926519318199281</v>
      </c>
      <c r="F167" s="331">
        <f t="shared" si="1"/>
        <v>7.926519318199281</v>
      </c>
      <c r="G167" s="141">
        <f>$C$161</f>
        <v>208.12652784473903</v>
      </c>
      <c r="H167" s="47"/>
      <c r="I167" s="331">
        <f t="shared" si="4"/>
        <v>7.926519318199281</v>
      </c>
      <c r="J167" s="330" t="s">
        <v>574</v>
      </c>
      <c r="K167" s="47"/>
      <c r="L167" s="331">
        <f t="shared" si="5"/>
        <v>7.926519318199281</v>
      </c>
      <c r="M167" s="171"/>
      <c r="N167" s="47"/>
      <c r="O167" s="331">
        <f t="shared" si="6"/>
        <v>7.926519318199281</v>
      </c>
      <c r="P167" s="171"/>
    </row>
    <row r="168" spans="2:16" s="43" customFormat="1" ht="15.95" customHeight="1" x14ac:dyDescent="0.25">
      <c r="B168" s="9">
        <f t="shared" si="2"/>
        <v>8</v>
      </c>
      <c r="C168" s="141">
        <f t="shared" si="3"/>
        <v>258.76573824855626</v>
      </c>
      <c r="D168" s="141">
        <f t="shared" si="0"/>
        <v>8.1769973286543784</v>
      </c>
      <c r="F168" s="331">
        <f t="shared" si="1"/>
        <v>8.1769973286543784</v>
      </c>
      <c r="G168" s="171"/>
      <c r="H168" s="47"/>
      <c r="I168" s="331">
        <f t="shared" si="4"/>
        <v>8.1769973286543784</v>
      </c>
      <c r="J168" s="141">
        <f>$C$162</f>
        <v>214.70332612463278</v>
      </c>
      <c r="K168" s="47"/>
      <c r="L168" s="331">
        <f t="shared" si="5"/>
        <v>8.1769973286543784</v>
      </c>
      <c r="M168" s="330" t="s">
        <v>575</v>
      </c>
      <c r="N168" s="47"/>
      <c r="O168" s="331">
        <f t="shared" si="6"/>
        <v>8.1769973286543784</v>
      </c>
      <c r="P168" s="171"/>
    </row>
    <row r="169" spans="2:16" s="43" customFormat="1" ht="15.95" customHeight="1" x14ac:dyDescent="0.25">
      <c r="B169" s="9">
        <f t="shared" si="2"/>
        <v>9</v>
      </c>
      <c r="C169" s="141">
        <f t="shared" si="3"/>
        <v>266.94273557721061</v>
      </c>
      <c r="D169" s="141">
        <f t="shared" si="0"/>
        <v>8.4353904442398555</v>
      </c>
      <c r="F169" s="331">
        <f t="shared" si="1"/>
        <v>8.4353904442398555</v>
      </c>
      <c r="G169" s="171"/>
      <c r="H169" s="47"/>
      <c r="I169" s="331">
        <f t="shared" si="4"/>
        <v>8.4353904442398555</v>
      </c>
      <c r="J169" s="171"/>
      <c r="K169" s="47"/>
      <c r="L169" s="331">
        <f t="shared" si="5"/>
        <v>8.4353904442398555</v>
      </c>
      <c r="M169" s="141">
        <f>$C$163</f>
        <v>221.48795123017118</v>
      </c>
      <c r="N169" s="47"/>
      <c r="O169" s="331">
        <f t="shared" si="6"/>
        <v>8.4353904442398555</v>
      </c>
      <c r="P169" s="330" t="s">
        <v>576</v>
      </c>
    </row>
    <row r="170" spans="2:16" s="43" customFormat="1" ht="15.95" customHeight="1" x14ac:dyDescent="0.25">
      <c r="B170" s="9">
        <f t="shared" si="2"/>
        <v>10</v>
      </c>
      <c r="C170" s="141">
        <f t="shared" si="3"/>
        <v>275.37812602145044</v>
      </c>
      <c r="D170" s="141">
        <f t="shared" si="0"/>
        <v>8.7019487822778352</v>
      </c>
      <c r="F170" s="331">
        <f t="shared" si="1"/>
        <v>8.7019487822778352</v>
      </c>
      <c r="G170" s="389" t="s">
        <v>571</v>
      </c>
      <c r="H170" s="47"/>
      <c r="I170" s="331">
        <f t="shared" si="4"/>
        <v>8.7019487822778352</v>
      </c>
      <c r="J170" s="171"/>
      <c r="K170" s="47"/>
      <c r="L170" s="331">
        <f t="shared" si="5"/>
        <v>8.7019487822778352</v>
      </c>
      <c r="M170" s="171"/>
      <c r="N170" s="47"/>
      <c r="O170" s="331">
        <f t="shared" si="6"/>
        <v>8.7019487822778352</v>
      </c>
      <c r="P170" s="141">
        <f>$C$164</f>
        <v>228.48697048904458</v>
      </c>
    </row>
    <row r="171" spans="2:16" s="43" customFormat="1" ht="15.95" customHeight="1" x14ac:dyDescent="0.25">
      <c r="B171" s="9">
        <f t="shared" si="2"/>
        <v>11</v>
      </c>
      <c r="C171" s="141">
        <f t="shared" si="3"/>
        <v>284.08007480372828</v>
      </c>
      <c r="D171" s="141">
        <f t="shared" si="0"/>
        <v>8.9769303637978144</v>
      </c>
      <c r="F171" s="331">
        <f t="shared" si="1"/>
        <v>8.9769303637978144</v>
      </c>
      <c r="G171" s="270">
        <f>G163/G167</f>
        <v>0.45256642515242873</v>
      </c>
      <c r="H171" s="47"/>
      <c r="I171" s="331">
        <f t="shared" si="4"/>
        <v>8.9769303637978144</v>
      </c>
      <c r="J171" s="389" t="s">
        <v>571</v>
      </c>
      <c r="K171" s="47"/>
      <c r="L171" s="331">
        <f t="shared" si="5"/>
        <v>8.9769303637978144</v>
      </c>
      <c r="M171" s="171"/>
      <c r="N171" s="47"/>
      <c r="O171" s="331">
        <f t="shared" si="6"/>
        <v>8.9769303637978144</v>
      </c>
      <c r="P171" s="171"/>
    </row>
    <row r="172" spans="2:16" s="43" customFormat="1" ht="15.95" customHeight="1" x14ac:dyDescent="0.25">
      <c r="B172" s="9">
        <f t="shared" si="2"/>
        <v>12</v>
      </c>
      <c r="C172" s="141">
        <f t="shared" si="3"/>
        <v>293.05700516752609</v>
      </c>
      <c r="D172" s="141">
        <f t="shared" si="0"/>
        <v>9.2606013632938247</v>
      </c>
      <c r="F172" s="332">
        <f t="shared" si="1"/>
        <v>9.2606013632938247</v>
      </c>
      <c r="G172" s="355"/>
      <c r="H172" s="47"/>
      <c r="I172" s="331">
        <f t="shared" si="4"/>
        <v>9.2606013632938247</v>
      </c>
      <c r="J172" s="270">
        <f>J164/J168</f>
        <v>0.45256642515242873</v>
      </c>
      <c r="K172" s="47"/>
      <c r="L172" s="331">
        <f t="shared" si="5"/>
        <v>9.2606013632938247</v>
      </c>
      <c r="M172" s="389" t="s">
        <v>571</v>
      </c>
      <c r="N172" s="47"/>
      <c r="O172" s="331">
        <f t="shared" si="6"/>
        <v>9.2606013632938247</v>
      </c>
      <c r="P172" s="171"/>
    </row>
    <row r="173" spans="2:16" s="43" customFormat="1" ht="15.95" customHeight="1" x14ac:dyDescent="0.25">
      <c r="B173" s="9">
        <f t="shared" si="2"/>
        <v>13</v>
      </c>
      <c r="C173" s="141">
        <f t="shared" si="3"/>
        <v>302.31760653081989</v>
      </c>
      <c r="D173" s="141">
        <f t="shared" si="0"/>
        <v>9.553236366373909</v>
      </c>
      <c r="F173" s="397">
        <f>SUM(F161:F172)</f>
        <v>94.191078686080957</v>
      </c>
      <c r="G173" s="356"/>
      <c r="H173" s="47"/>
      <c r="I173" s="332">
        <f t="shared" si="4"/>
        <v>9.553236366373909</v>
      </c>
      <c r="J173" s="355"/>
      <c r="K173" s="47"/>
      <c r="L173" s="331">
        <f t="shared" si="5"/>
        <v>9.553236366373909</v>
      </c>
      <c r="M173" s="270">
        <f>M165/M169</f>
        <v>0.45256642515242868</v>
      </c>
      <c r="N173" s="47"/>
      <c r="O173" s="331">
        <f t="shared" si="6"/>
        <v>9.553236366373909</v>
      </c>
      <c r="P173" s="389" t="s">
        <v>571</v>
      </c>
    </row>
    <row r="174" spans="2:16" s="43" customFormat="1" ht="15.95" customHeight="1" x14ac:dyDescent="0.25">
      <c r="B174" s="9">
        <f t="shared" si="2"/>
        <v>14</v>
      </c>
      <c r="C174" s="141">
        <f t="shared" si="3"/>
        <v>311.87084289719382</v>
      </c>
      <c r="D174" s="141">
        <f t="shared" si="0"/>
        <v>9.8551186355513263</v>
      </c>
      <c r="F174" s="408"/>
      <c r="G174" s="47"/>
      <c r="H174" s="47"/>
      <c r="I174" s="333">
        <f>SUM(I162:I173)</f>
        <v>97.167516772561115</v>
      </c>
      <c r="J174" s="356"/>
      <c r="K174" s="47"/>
      <c r="L174" s="332">
        <f t="shared" si="5"/>
        <v>9.8551186355513263</v>
      </c>
      <c r="M174" s="47"/>
      <c r="N174" s="47"/>
      <c r="O174" s="331">
        <f t="shared" si="6"/>
        <v>9.8551186355513263</v>
      </c>
      <c r="P174" s="270">
        <f>P166/P170</f>
        <v>0.45256642515242873</v>
      </c>
    </row>
    <row r="175" spans="2:16" s="43" customFormat="1" ht="15.95" customHeight="1" x14ac:dyDescent="0.25">
      <c r="B175" s="9">
        <f t="shared" si="2"/>
        <v>15</v>
      </c>
      <c r="C175" s="141">
        <f t="shared" si="3"/>
        <v>321.72596153274515</v>
      </c>
      <c r="D175" s="141">
        <f t="shared" si="0"/>
        <v>10.166540384434748</v>
      </c>
      <c r="F175" s="47"/>
      <c r="G175" s="47"/>
      <c r="H175" s="47"/>
      <c r="I175" s="47"/>
      <c r="J175" s="47"/>
      <c r="K175" s="47"/>
      <c r="L175" s="333">
        <f>SUM(L163:L174)</f>
        <v>100.23801030257404</v>
      </c>
      <c r="M175" s="47"/>
      <c r="N175" s="47"/>
      <c r="O175" s="332">
        <f t="shared" si="6"/>
        <v>10.166540384434748</v>
      </c>
      <c r="P175" s="412"/>
    </row>
    <row r="176" spans="2:16" s="43" customFormat="1" ht="15.95" customHeight="1" x14ac:dyDescent="0.25">
      <c r="D176" s="266">
        <f>SUM(D161:D175)</f>
        <v>123.76597407244094</v>
      </c>
      <c r="F176" s="47"/>
      <c r="G176" s="47"/>
      <c r="H176" s="47"/>
      <c r="I176" s="47"/>
      <c r="J176" s="47"/>
      <c r="K176" s="47"/>
      <c r="L176" s="47"/>
      <c r="M176" s="47"/>
      <c r="N176" s="409"/>
      <c r="O176" s="334">
        <f>SUM(O164:O175)</f>
        <v>103.40553142813539</v>
      </c>
      <c r="P176" s="47"/>
    </row>
    <row r="177" spans="1:19" s="43" customFormat="1" ht="15.95" customHeight="1" x14ac:dyDescent="0.25"/>
    <row r="178" spans="1:19" s="43" customFormat="1" ht="24.95" customHeight="1" x14ac:dyDescent="0.25">
      <c r="A178" s="380" t="s">
        <v>684</v>
      </c>
    </row>
    <row r="179" spans="1:19" s="43" customFormat="1" ht="15.95" customHeight="1" x14ac:dyDescent="0.25">
      <c r="B179" s="43" t="s">
        <v>685</v>
      </c>
    </row>
    <row r="180" spans="1:19" s="43" customFormat="1" ht="15.95" customHeight="1" x14ac:dyDescent="0.25">
      <c r="B180" s="43" t="s">
        <v>501</v>
      </c>
    </row>
    <row r="181" spans="1:19" s="43" customFormat="1" ht="15.95" customHeight="1" x14ac:dyDescent="0.25">
      <c r="B181" s="43" t="s">
        <v>711</v>
      </c>
    </row>
    <row r="182" spans="1:19" s="43" customFormat="1" ht="15.95" customHeight="1" x14ac:dyDescent="0.25"/>
    <row r="183" spans="1:19" s="43" customFormat="1" ht="24.95" customHeight="1" x14ac:dyDescent="0.25">
      <c r="B183" s="390" t="s">
        <v>542</v>
      </c>
      <c r="F183" s="390" t="s">
        <v>543</v>
      </c>
      <c r="J183" s="390" t="s">
        <v>544</v>
      </c>
    </row>
    <row r="184" spans="1:19" s="43" customFormat="1" ht="20.100000000000001" customHeight="1" x14ac:dyDescent="0.25">
      <c r="B184" s="594" t="s">
        <v>487</v>
      </c>
      <c r="C184" s="606"/>
      <c r="D184" s="606"/>
      <c r="F184" s="594" t="s">
        <v>487</v>
      </c>
      <c r="G184" s="606"/>
      <c r="H184" s="606"/>
      <c r="J184" s="594" t="s">
        <v>487</v>
      </c>
      <c r="K184" s="606"/>
      <c r="L184" s="606"/>
      <c r="M184" s="7"/>
      <c r="N184" s="7"/>
      <c r="R184" s="7"/>
      <c r="S184" s="7"/>
    </row>
    <row r="185" spans="1:19" s="43" customFormat="1" ht="20.100000000000001" customHeight="1" x14ac:dyDescent="0.25">
      <c r="B185" s="186" t="s">
        <v>64</v>
      </c>
      <c r="C185" s="185" t="s">
        <v>24</v>
      </c>
      <c r="D185" s="186" t="s">
        <v>65</v>
      </c>
      <c r="F185" s="186" t="s">
        <v>64</v>
      </c>
      <c r="G185" s="185" t="s">
        <v>24</v>
      </c>
      <c r="H185" s="186" t="s">
        <v>65</v>
      </c>
      <c r="J185" s="186" t="s">
        <v>64</v>
      </c>
      <c r="K185" s="185" t="s">
        <v>570</v>
      </c>
      <c r="L185" s="186" t="s">
        <v>65</v>
      </c>
      <c r="M185" s="7"/>
      <c r="N185" s="7"/>
      <c r="R185" s="7"/>
      <c r="S185" s="7"/>
    </row>
    <row r="186" spans="1:19" s="43" customFormat="1" ht="15.95" customHeight="1" x14ac:dyDescent="0.25">
      <c r="B186" s="9">
        <v>1</v>
      </c>
      <c r="C186" s="141">
        <f>$C$161</f>
        <v>208.12652784473903</v>
      </c>
      <c r="D186" s="141">
        <f t="shared" ref="D186:D197" si="7">$F$97*$C186</f>
        <v>6.5767982798937537</v>
      </c>
      <c r="F186" s="9">
        <v>1</v>
      </c>
      <c r="G186" s="141">
        <f>$C$161</f>
        <v>208.12652784473903</v>
      </c>
      <c r="H186" s="141">
        <f t="shared" ref="H186:H197" si="8">$F$97*$G186</f>
        <v>6.5767982798937537</v>
      </c>
      <c r="J186" s="9">
        <v>1</v>
      </c>
      <c r="K186" s="141">
        <v>0</v>
      </c>
      <c r="L186" s="141">
        <f t="shared" ref="L186:L197" si="9">$F$97*$K186</f>
        <v>0</v>
      </c>
      <c r="M186" s="3"/>
      <c r="N186" s="3"/>
      <c r="R186" s="3"/>
      <c r="S186" s="3"/>
    </row>
    <row r="187" spans="1:19" s="43" customFormat="1" ht="15.95" customHeight="1" x14ac:dyDescent="0.25">
      <c r="B187" s="9">
        <f>B186+1</f>
        <v>2</v>
      </c>
      <c r="C187" s="141">
        <f>C186+D186</f>
        <v>214.70332612463278</v>
      </c>
      <c r="D187" s="141">
        <f t="shared" si="7"/>
        <v>6.7846251055383968</v>
      </c>
      <c r="F187" s="9">
        <f t="shared" ref="F187:F197" si="10">F186+1</f>
        <v>2</v>
      </c>
      <c r="G187" s="141">
        <f>G186</f>
        <v>208.12652784473903</v>
      </c>
      <c r="H187" s="141">
        <f t="shared" si="8"/>
        <v>6.5767982798937537</v>
      </c>
      <c r="J187" s="9">
        <f t="shared" ref="J187:J197" si="11">J186+1</f>
        <v>2</v>
      </c>
      <c r="K187" s="141">
        <f>K186+H186+L186</f>
        <v>6.5767982798937537</v>
      </c>
      <c r="L187" s="141">
        <f t="shared" si="9"/>
        <v>0.20782682564464264</v>
      </c>
      <c r="M187" s="3"/>
      <c r="N187" s="3"/>
      <c r="R187" s="3"/>
      <c r="S187" s="3"/>
    </row>
    <row r="188" spans="1:19" s="43" customFormat="1" ht="15.95" customHeight="1" x14ac:dyDescent="0.25">
      <c r="B188" s="9">
        <f t="shared" ref="B188:B197" si="12">B187+1</f>
        <v>3</v>
      </c>
      <c r="C188" s="141">
        <f t="shared" ref="C188:C197" si="13">C187+D187</f>
        <v>221.48795123017118</v>
      </c>
      <c r="D188" s="141">
        <f t="shared" si="7"/>
        <v>6.9990192588734095</v>
      </c>
      <c r="F188" s="9">
        <f t="shared" si="10"/>
        <v>3</v>
      </c>
      <c r="G188" s="141">
        <f t="shared" ref="G188:G197" si="14">G187</f>
        <v>208.12652784473903</v>
      </c>
      <c r="H188" s="141">
        <f t="shared" si="8"/>
        <v>6.5767982798937537</v>
      </c>
      <c r="J188" s="9">
        <f t="shared" si="11"/>
        <v>3</v>
      </c>
      <c r="K188" s="141">
        <f t="shared" ref="K188:K197" si="15">K187+H187+L187</f>
        <v>13.36142338543215</v>
      </c>
      <c r="L188" s="141">
        <f t="shared" si="9"/>
        <v>0.42222097897965599</v>
      </c>
      <c r="M188" s="3"/>
      <c r="N188" s="3"/>
      <c r="R188" s="3"/>
      <c r="S188" s="3"/>
    </row>
    <row r="189" spans="1:19" s="43" customFormat="1" ht="15.95" customHeight="1" x14ac:dyDescent="0.25">
      <c r="B189" s="9">
        <f t="shared" si="12"/>
        <v>4</v>
      </c>
      <c r="C189" s="141">
        <f t="shared" si="13"/>
        <v>228.48697048904458</v>
      </c>
      <c r="D189" s="141">
        <f t="shared" si="7"/>
        <v>7.2201882674538096</v>
      </c>
      <c r="F189" s="9">
        <f t="shared" si="10"/>
        <v>4</v>
      </c>
      <c r="G189" s="141">
        <f t="shared" si="14"/>
        <v>208.12652784473903</v>
      </c>
      <c r="H189" s="141">
        <f t="shared" si="8"/>
        <v>6.5767982798937537</v>
      </c>
      <c r="J189" s="9">
        <f t="shared" si="11"/>
        <v>4</v>
      </c>
      <c r="K189" s="141">
        <f t="shared" si="15"/>
        <v>20.360442644305561</v>
      </c>
      <c r="L189" s="141">
        <f t="shared" si="9"/>
        <v>0.64338998756005583</v>
      </c>
      <c r="M189" s="3"/>
      <c r="N189" s="3"/>
      <c r="R189" s="3"/>
      <c r="S189" s="3"/>
    </row>
    <row r="190" spans="1:19" s="43" customFormat="1" ht="15.95" customHeight="1" x14ac:dyDescent="0.25">
      <c r="B190" s="9">
        <f t="shared" si="12"/>
        <v>5</v>
      </c>
      <c r="C190" s="141">
        <f t="shared" si="13"/>
        <v>235.70715875649839</v>
      </c>
      <c r="D190" s="141">
        <f t="shared" si="7"/>
        <v>7.4483462167053496</v>
      </c>
      <c r="F190" s="9">
        <f t="shared" si="10"/>
        <v>5</v>
      </c>
      <c r="G190" s="141">
        <f t="shared" si="14"/>
        <v>208.12652784473903</v>
      </c>
      <c r="H190" s="141">
        <f t="shared" si="8"/>
        <v>6.5767982798937537</v>
      </c>
      <c r="J190" s="9">
        <f t="shared" si="11"/>
        <v>5</v>
      </c>
      <c r="K190" s="141">
        <f t="shared" si="15"/>
        <v>27.580630911759371</v>
      </c>
      <c r="L190" s="141">
        <f t="shared" si="9"/>
        <v>0.87154793681159626</v>
      </c>
      <c r="M190" s="3"/>
      <c r="N190" s="3"/>
      <c r="R190" s="3"/>
      <c r="S190" s="3"/>
    </row>
    <row r="191" spans="1:19" s="43" customFormat="1" ht="15.95" customHeight="1" x14ac:dyDescent="0.25">
      <c r="B191" s="9">
        <f t="shared" si="12"/>
        <v>6</v>
      </c>
      <c r="C191" s="141">
        <f t="shared" si="13"/>
        <v>243.15550497320373</v>
      </c>
      <c r="D191" s="141">
        <f t="shared" si="7"/>
        <v>7.6837139571532385</v>
      </c>
      <c r="F191" s="9">
        <f t="shared" si="10"/>
        <v>6</v>
      </c>
      <c r="G191" s="141">
        <f t="shared" si="14"/>
        <v>208.12652784473903</v>
      </c>
      <c r="H191" s="141">
        <f t="shared" si="8"/>
        <v>6.5767982798937537</v>
      </c>
      <c r="J191" s="9">
        <f t="shared" si="11"/>
        <v>6</v>
      </c>
      <c r="K191" s="141">
        <f t="shared" si="15"/>
        <v>35.028977128464717</v>
      </c>
      <c r="L191" s="141">
        <f t="shared" si="9"/>
        <v>1.1069156772594853</v>
      </c>
      <c r="M191" s="3"/>
      <c r="N191" s="3"/>
      <c r="R191" s="3"/>
      <c r="S191" s="3"/>
    </row>
    <row r="192" spans="1:19" s="43" customFormat="1" ht="15.95" customHeight="1" x14ac:dyDescent="0.25">
      <c r="B192" s="9">
        <f t="shared" si="12"/>
        <v>7</v>
      </c>
      <c r="C192" s="141">
        <f t="shared" si="13"/>
        <v>250.83921893035696</v>
      </c>
      <c r="D192" s="141">
        <f t="shared" si="7"/>
        <v>7.926519318199281</v>
      </c>
      <c r="F192" s="9">
        <f t="shared" si="10"/>
        <v>7</v>
      </c>
      <c r="G192" s="141">
        <f t="shared" si="14"/>
        <v>208.12652784473903</v>
      </c>
      <c r="H192" s="141">
        <f t="shared" si="8"/>
        <v>6.5767982798937537</v>
      </c>
      <c r="J192" s="9">
        <f t="shared" si="11"/>
        <v>7</v>
      </c>
      <c r="K192" s="141">
        <f t="shared" si="15"/>
        <v>42.712691085617955</v>
      </c>
      <c r="L192" s="141">
        <f t="shared" si="9"/>
        <v>1.3497210383055276</v>
      </c>
      <c r="M192" s="3"/>
      <c r="N192" s="3"/>
      <c r="R192" s="3"/>
      <c r="S192" s="3"/>
    </row>
    <row r="193" spans="2:20" s="43" customFormat="1" ht="15.95" customHeight="1" x14ac:dyDescent="0.25">
      <c r="B193" s="9">
        <f t="shared" si="12"/>
        <v>8</v>
      </c>
      <c r="C193" s="141">
        <f t="shared" si="13"/>
        <v>258.76573824855626</v>
      </c>
      <c r="D193" s="141">
        <f t="shared" si="7"/>
        <v>8.1769973286543784</v>
      </c>
      <c r="F193" s="9">
        <f t="shared" si="10"/>
        <v>8</v>
      </c>
      <c r="G193" s="141">
        <f t="shared" si="14"/>
        <v>208.12652784473903</v>
      </c>
      <c r="H193" s="141">
        <f t="shared" si="8"/>
        <v>6.5767982798937537</v>
      </c>
      <c r="J193" s="9">
        <f t="shared" si="11"/>
        <v>8</v>
      </c>
      <c r="K193" s="141">
        <f t="shared" si="15"/>
        <v>50.639210403817231</v>
      </c>
      <c r="L193" s="141">
        <f t="shared" si="9"/>
        <v>1.6001990487606246</v>
      </c>
      <c r="M193" s="3"/>
      <c r="N193" s="3"/>
      <c r="R193" s="3"/>
      <c r="S193" s="3"/>
    </row>
    <row r="194" spans="2:20" s="43" customFormat="1" ht="15.95" customHeight="1" x14ac:dyDescent="0.25">
      <c r="B194" s="9">
        <f t="shared" si="12"/>
        <v>9</v>
      </c>
      <c r="C194" s="141">
        <f t="shared" si="13"/>
        <v>266.94273557721061</v>
      </c>
      <c r="D194" s="141">
        <f t="shared" si="7"/>
        <v>8.4353904442398555</v>
      </c>
      <c r="F194" s="9">
        <f t="shared" si="10"/>
        <v>9</v>
      </c>
      <c r="G194" s="141">
        <f t="shared" si="14"/>
        <v>208.12652784473903</v>
      </c>
      <c r="H194" s="141">
        <f t="shared" si="8"/>
        <v>6.5767982798937537</v>
      </c>
      <c r="J194" s="9">
        <f t="shared" si="11"/>
        <v>9</v>
      </c>
      <c r="K194" s="141">
        <f t="shared" si="15"/>
        <v>58.816207732471604</v>
      </c>
      <c r="L194" s="141">
        <f t="shared" si="9"/>
        <v>1.8585921643461027</v>
      </c>
      <c r="M194" s="3"/>
      <c r="N194" s="3"/>
      <c r="R194" s="3"/>
      <c r="S194" s="3"/>
    </row>
    <row r="195" spans="2:20" s="43" customFormat="1" ht="15.95" customHeight="1" x14ac:dyDescent="0.25">
      <c r="B195" s="9">
        <f t="shared" si="12"/>
        <v>10</v>
      </c>
      <c r="C195" s="141">
        <f t="shared" si="13"/>
        <v>275.37812602145044</v>
      </c>
      <c r="D195" s="141">
        <f t="shared" si="7"/>
        <v>8.7019487822778352</v>
      </c>
      <c r="F195" s="9">
        <f t="shared" si="10"/>
        <v>10</v>
      </c>
      <c r="G195" s="141">
        <f t="shared" si="14"/>
        <v>208.12652784473903</v>
      </c>
      <c r="H195" s="141">
        <f t="shared" si="8"/>
        <v>6.5767982798937537</v>
      </c>
      <c r="J195" s="9">
        <f t="shared" si="11"/>
        <v>10</v>
      </c>
      <c r="K195" s="141">
        <f t="shared" si="15"/>
        <v>67.251598176711468</v>
      </c>
      <c r="L195" s="141">
        <f t="shared" si="9"/>
        <v>2.1251505023840824</v>
      </c>
      <c r="M195" s="3"/>
      <c r="N195" s="3"/>
      <c r="R195" s="3"/>
      <c r="S195" s="3"/>
    </row>
    <row r="196" spans="2:20" s="43" customFormat="1" ht="15.95" customHeight="1" x14ac:dyDescent="0.25">
      <c r="B196" s="9">
        <f t="shared" si="12"/>
        <v>11</v>
      </c>
      <c r="C196" s="141">
        <f t="shared" si="13"/>
        <v>284.08007480372828</v>
      </c>
      <c r="D196" s="141">
        <f t="shared" si="7"/>
        <v>8.9769303637978144</v>
      </c>
      <c r="F196" s="9">
        <f t="shared" si="10"/>
        <v>11</v>
      </c>
      <c r="G196" s="141">
        <f t="shared" si="14"/>
        <v>208.12652784473903</v>
      </c>
      <c r="H196" s="141">
        <f t="shared" si="8"/>
        <v>6.5767982798937537</v>
      </c>
      <c r="J196" s="9">
        <f t="shared" si="11"/>
        <v>11</v>
      </c>
      <c r="K196" s="141">
        <f t="shared" si="15"/>
        <v>75.953546958989307</v>
      </c>
      <c r="L196" s="141">
        <f t="shared" si="9"/>
        <v>2.4001320839040625</v>
      </c>
      <c r="M196" s="3"/>
      <c r="N196" s="3"/>
      <c r="R196" s="3"/>
      <c r="S196" s="3"/>
    </row>
    <row r="197" spans="2:20" s="43" customFormat="1" ht="15.95" customHeight="1" x14ac:dyDescent="0.25">
      <c r="B197" s="9">
        <f t="shared" si="12"/>
        <v>12</v>
      </c>
      <c r="C197" s="141">
        <f t="shared" si="13"/>
        <v>293.05700516752609</v>
      </c>
      <c r="D197" s="141">
        <f t="shared" si="7"/>
        <v>9.2606013632938247</v>
      </c>
      <c r="F197" s="9">
        <f t="shared" si="10"/>
        <v>12</v>
      </c>
      <c r="G197" s="141">
        <f t="shared" si="14"/>
        <v>208.12652784473903</v>
      </c>
      <c r="H197" s="141">
        <f t="shared" si="8"/>
        <v>6.5767982798937537</v>
      </c>
      <c r="J197" s="9">
        <f t="shared" si="11"/>
        <v>12</v>
      </c>
      <c r="K197" s="141">
        <f t="shared" si="15"/>
        <v>84.930477322787127</v>
      </c>
      <c r="L197" s="141">
        <f t="shared" si="9"/>
        <v>2.6838030834000737</v>
      </c>
      <c r="M197" s="3"/>
      <c r="N197" s="3"/>
      <c r="R197" s="3"/>
      <c r="S197" s="3"/>
    </row>
    <row r="198" spans="2:20" s="43" customFormat="1" ht="15.95" customHeight="1" x14ac:dyDescent="0.25">
      <c r="D198" s="266">
        <f>SUM(D186:D197)</f>
        <v>94.191078686080957</v>
      </c>
      <c r="H198" s="266">
        <f>SUM(H186:H197)</f>
        <v>78.921579358725026</v>
      </c>
      <c r="L198" s="266">
        <f>SUM(L186:L197)</f>
        <v>15.269499327355911</v>
      </c>
      <c r="M198" s="267"/>
      <c r="N198" s="267"/>
      <c r="R198" s="267"/>
      <c r="S198" s="267"/>
    </row>
    <row r="199" spans="2:20" s="43" customFormat="1" ht="15.95" customHeight="1" x14ac:dyDescent="0.25">
      <c r="D199" s="267"/>
      <c r="H199" s="267"/>
      <c r="L199" s="268"/>
      <c r="M199" s="267"/>
      <c r="N199" s="267"/>
      <c r="R199" s="267"/>
      <c r="S199" s="267"/>
    </row>
    <row r="200" spans="2:20" s="269" customFormat="1" ht="24.95" customHeight="1" x14ac:dyDescent="0.3">
      <c r="B200" s="384" t="s">
        <v>480</v>
      </c>
    </row>
    <row r="201" spans="2:20" s="43" customFormat="1" ht="15.95" customHeight="1" x14ac:dyDescent="0.25">
      <c r="B201" s="43" t="s">
        <v>488</v>
      </c>
    </row>
    <row r="202" spans="2:20" s="43" customFormat="1" ht="15.95" customHeight="1" x14ac:dyDescent="0.25">
      <c r="T202" s="265"/>
    </row>
    <row r="203" spans="2:20" s="43" customFormat="1" ht="20.100000000000001" customHeight="1" x14ac:dyDescent="0.25">
      <c r="C203" s="606" t="s">
        <v>95</v>
      </c>
      <c r="D203" s="606"/>
      <c r="E203" s="606"/>
      <c r="G203" s="606" t="s">
        <v>94</v>
      </c>
      <c r="H203" s="606"/>
      <c r="I203" s="606"/>
      <c r="K203" s="578" t="s">
        <v>481</v>
      </c>
      <c r="L203" s="612"/>
      <c r="M203" s="579"/>
      <c r="Q203" s="7"/>
      <c r="R203" s="7"/>
      <c r="S203" s="7"/>
    </row>
    <row r="204" spans="2:20" s="43" customFormat="1" x14ac:dyDescent="0.25">
      <c r="C204" s="186" t="s">
        <v>178</v>
      </c>
      <c r="D204" s="186" t="s">
        <v>70</v>
      </c>
      <c r="E204" s="186" t="s">
        <v>71</v>
      </c>
      <c r="G204" s="186" t="s">
        <v>178</v>
      </c>
      <c r="H204" s="186" t="s">
        <v>70</v>
      </c>
      <c r="I204" s="186" t="s">
        <v>71</v>
      </c>
      <c r="K204" s="186" t="s">
        <v>178</v>
      </c>
      <c r="L204" s="186" t="s">
        <v>70</v>
      </c>
      <c r="M204" s="186" t="s">
        <v>71</v>
      </c>
      <c r="Q204" s="7"/>
      <c r="R204" s="7"/>
      <c r="S204" s="7"/>
    </row>
    <row r="205" spans="2:20" s="43" customFormat="1" ht="15.95" customHeight="1" x14ac:dyDescent="0.25">
      <c r="C205" s="141">
        <f>$C$186</f>
        <v>208.12652784473903</v>
      </c>
      <c r="D205" s="141">
        <f>$D$198</f>
        <v>94.191078686080957</v>
      </c>
      <c r="E205" s="270">
        <f>D205/C205</f>
        <v>0.45256642515242873</v>
      </c>
      <c r="G205" s="141">
        <f>$G$186</f>
        <v>208.12652784473903</v>
      </c>
      <c r="H205" s="141">
        <f>$H$198</f>
        <v>78.921579358725026</v>
      </c>
      <c r="I205" s="270">
        <f>H205/G205</f>
        <v>0.37919999999999993</v>
      </c>
      <c r="K205" s="141">
        <f>$C$186</f>
        <v>208.12652784473903</v>
      </c>
      <c r="L205" s="141">
        <f>$L$198</f>
        <v>15.269499327355911</v>
      </c>
      <c r="M205" s="270">
        <f>L205/K205</f>
        <v>7.336642515242868E-2</v>
      </c>
      <c r="N205" s="271"/>
      <c r="Q205" s="3"/>
      <c r="R205" s="3"/>
      <c r="S205" s="3"/>
    </row>
    <row r="206" spans="2:20" s="43" customFormat="1" ht="15.95" customHeight="1" x14ac:dyDescent="0.25">
      <c r="C206" s="3"/>
      <c r="D206" s="3"/>
      <c r="E206" s="272"/>
      <c r="G206" s="3"/>
      <c r="H206" s="3"/>
      <c r="J206" s="3"/>
      <c r="K206" s="3"/>
      <c r="L206" s="272"/>
      <c r="M206" s="3"/>
      <c r="N206" s="271"/>
      <c r="Q206" s="3"/>
      <c r="R206" s="3"/>
      <c r="S206" s="3"/>
    </row>
    <row r="207" spans="2:20" s="43" customFormat="1" ht="15.95" customHeight="1" x14ac:dyDescent="0.25">
      <c r="C207" s="277" t="s">
        <v>135</v>
      </c>
      <c r="D207" s="141">
        <f>$D$186</f>
        <v>6.5767982798937537</v>
      </c>
      <c r="E207" s="272"/>
      <c r="G207" s="277" t="s">
        <v>135</v>
      </c>
      <c r="H207" s="141">
        <f>$H$186</f>
        <v>6.5767982798937537</v>
      </c>
      <c r="M207" s="3"/>
      <c r="N207" s="271"/>
      <c r="Q207" s="3"/>
      <c r="R207" s="3"/>
      <c r="S207" s="3"/>
    </row>
    <row r="208" spans="2:20" s="43" customFormat="1" ht="15.95" customHeight="1" x14ac:dyDescent="0.25">
      <c r="C208" s="277" t="s">
        <v>486</v>
      </c>
      <c r="D208" s="141">
        <f>D207*12</f>
        <v>78.92157935872504</v>
      </c>
      <c r="E208" s="272"/>
      <c r="G208" s="277" t="s">
        <v>486</v>
      </c>
      <c r="H208" s="141">
        <f>H207*12</f>
        <v>78.92157935872504</v>
      </c>
      <c r="M208" s="3"/>
      <c r="N208" s="271"/>
      <c r="Q208" s="3"/>
      <c r="R208" s="3"/>
      <c r="S208" s="3"/>
    </row>
    <row r="209" spans="2:19" s="43" customFormat="1" ht="15.95" customHeight="1" x14ac:dyDescent="0.25">
      <c r="C209" s="277" t="s">
        <v>477</v>
      </c>
      <c r="D209" s="141">
        <f>$D$205-$D$208</f>
        <v>15.269499327355916</v>
      </c>
      <c r="E209" s="272"/>
      <c r="G209" s="277" t="s">
        <v>476</v>
      </c>
      <c r="H209" s="141">
        <f>$H$205-$H$208</f>
        <v>0</v>
      </c>
      <c r="M209" s="3"/>
      <c r="N209" s="271"/>
      <c r="Q209" s="3"/>
      <c r="R209" s="3"/>
      <c r="S209" s="3"/>
    </row>
    <row r="210" spans="2:19" s="43" customFormat="1" ht="15.95" customHeight="1" x14ac:dyDescent="0.25">
      <c r="C210" s="3"/>
      <c r="D210" s="3"/>
      <c r="E210" s="272"/>
      <c r="J210" s="3"/>
      <c r="K210" s="3"/>
      <c r="L210" s="272"/>
      <c r="M210" s="3"/>
      <c r="N210" s="271"/>
      <c r="Q210" s="3"/>
      <c r="R210" s="3"/>
      <c r="S210" s="3"/>
    </row>
    <row r="211" spans="2:19" s="43" customFormat="1" ht="15.95" customHeight="1" x14ac:dyDescent="0.25">
      <c r="B211" s="43" t="s">
        <v>92</v>
      </c>
    </row>
    <row r="212" spans="2:19" s="43" customFormat="1" ht="15.95" customHeight="1" x14ac:dyDescent="0.25">
      <c r="B212" s="43" t="s">
        <v>546</v>
      </c>
    </row>
    <row r="213" spans="2:19" s="43" customFormat="1" ht="15.95" customHeight="1" x14ac:dyDescent="0.25">
      <c r="B213" s="43" t="s">
        <v>176</v>
      </c>
    </row>
    <row r="214" spans="2:19" s="43" customFormat="1" ht="15.95" customHeight="1" x14ac:dyDescent="0.25">
      <c r="B214" s="43" t="s">
        <v>679</v>
      </c>
    </row>
    <row r="215" spans="2:19" s="43" customFormat="1" ht="15.95" customHeight="1" x14ac:dyDescent="0.25">
      <c r="B215" s="43" t="s">
        <v>177</v>
      </c>
    </row>
    <row r="216" spans="2:19" s="43" customFormat="1" ht="15.95" customHeight="1" x14ac:dyDescent="0.25"/>
    <row r="217" spans="2:19" s="43" customFormat="1" ht="15.95" customHeight="1" x14ac:dyDescent="0.25">
      <c r="B217" s="43" t="s">
        <v>91</v>
      </c>
    </row>
    <row r="218" spans="2:19" s="43" customFormat="1" ht="15.95" customHeight="1" x14ac:dyDescent="0.25">
      <c r="B218" s="43" t="s">
        <v>545</v>
      </c>
    </row>
    <row r="219" spans="2:19" s="43" customFormat="1" ht="15.95" customHeight="1" x14ac:dyDescent="0.25">
      <c r="B219" s="43" t="s">
        <v>175</v>
      </c>
    </row>
    <row r="220" spans="2:19" s="43" customFormat="1" ht="15.95" customHeight="1" x14ac:dyDescent="0.25">
      <c r="B220" s="43" t="s">
        <v>282</v>
      </c>
    </row>
    <row r="221" spans="2:19" s="43" customFormat="1" ht="15.95" customHeight="1" x14ac:dyDescent="0.25">
      <c r="B221" s="43" t="s">
        <v>680</v>
      </c>
    </row>
    <row r="222" spans="2:19" s="43" customFormat="1" ht="15.95" customHeight="1" x14ac:dyDescent="0.25">
      <c r="C222" s="3"/>
      <c r="D222" s="184"/>
      <c r="E222" s="3"/>
      <c r="F222" s="184"/>
      <c r="G222" s="176"/>
    </row>
    <row r="223" spans="2:19" s="43" customFormat="1" ht="15.95" customHeight="1" x14ac:dyDescent="0.25">
      <c r="B223" s="43" t="s">
        <v>93</v>
      </c>
    </row>
    <row r="224" spans="2:19" s="43" customFormat="1" ht="15.95" customHeight="1" x14ac:dyDescent="0.25">
      <c r="B224" s="43" t="s">
        <v>547</v>
      </c>
    </row>
    <row r="225" spans="1:19" s="43" customFormat="1" ht="15.95" customHeight="1" x14ac:dyDescent="0.25">
      <c r="B225" s="43" t="s">
        <v>597</v>
      </c>
    </row>
    <row r="226" spans="1:19" s="43" customFormat="1" ht="15.95" customHeight="1" x14ac:dyDescent="0.25">
      <c r="B226" s="43" t="s">
        <v>289</v>
      </c>
    </row>
    <row r="227" spans="1:19" s="43" customFormat="1" ht="15.95" customHeight="1" x14ac:dyDescent="0.25">
      <c r="B227" s="43" t="s">
        <v>87</v>
      </c>
    </row>
    <row r="228" spans="1:19" s="43" customFormat="1" ht="15.95" customHeight="1" x14ac:dyDescent="0.25"/>
    <row r="229" spans="1:19" s="274" customFormat="1" ht="24.95" customHeight="1" x14ac:dyDescent="0.25">
      <c r="A229" s="380" t="s">
        <v>686</v>
      </c>
    </row>
    <row r="230" spans="1:19" s="43" customFormat="1" ht="15.95" customHeight="1" x14ac:dyDescent="0.25">
      <c r="B230" s="43" t="s">
        <v>687</v>
      </c>
    </row>
    <row r="231" spans="1:19" s="43" customFormat="1" ht="15.95" customHeight="1" x14ac:dyDescent="0.25">
      <c r="B231" s="43" t="s">
        <v>501</v>
      </c>
    </row>
    <row r="232" spans="1:19" s="43" customFormat="1" ht="15.95" customHeight="1" x14ac:dyDescent="0.25">
      <c r="B232" s="43" t="s">
        <v>712</v>
      </c>
    </row>
    <row r="233" spans="1:19" s="43" customFormat="1" ht="15.95" customHeight="1" x14ac:dyDescent="0.25"/>
    <row r="234" spans="1:19" s="43" customFormat="1" ht="24.95" customHeight="1" x14ac:dyDescent="0.25">
      <c r="B234" s="390" t="s">
        <v>548</v>
      </c>
      <c r="F234" s="390" t="s">
        <v>549</v>
      </c>
      <c r="J234" s="390" t="s">
        <v>550</v>
      </c>
    </row>
    <row r="235" spans="1:19" ht="20.100000000000001" customHeight="1" x14ac:dyDescent="0.25">
      <c r="B235" s="594" t="s">
        <v>489</v>
      </c>
      <c r="C235" s="606"/>
      <c r="D235" s="606"/>
      <c r="F235" s="594" t="s">
        <v>489</v>
      </c>
      <c r="G235" s="606"/>
      <c r="H235" s="606"/>
      <c r="J235" s="594" t="s">
        <v>489</v>
      </c>
      <c r="K235" s="606"/>
      <c r="L235" s="606"/>
      <c r="M235" s="7"/>
      <c r="N235" s="7"/>
      <c r="R235" s="7"/>
      <c r="S235" s="7"/>
    </row>
    <row r="236" spans="1:19" ht="20.100000000000001" customHeight="1" x14ac:dyDescent="0.25">
      <c r="B236" s="91" t="s">
        <v>64</v>
      </c>
      <c r="C236" s="8" t="s">
        <v>24</v>
      </c>
      <c r="D236" s="90" t="s">
        <v>65</v>
      </c>
      <c r="F236" s="91" t="s">
        <v>64</v>
      </c>
      <c r="G236" s="8" t="s">
        <v>24</v>
      </c>
      <c r="H236" s="90" t="s">
        <v>65</v>
      </c>
      <c r="J236" s="91" t="s">
        <v>64</v>
      </c>
      <c r="K236" s="8" t="s">
        <v>570</v>
      </c>
      <c r="L236" s="90" t="s">
        <v>65</v>
      </c>
      <c r="M236" s="6"/>
      <c r="N236" s="6"/>
      <c r="R236" s="6"/>
      <c r="S236" s="6"/>
    </row>
    <row r="237" spans="1:19" s="43" customFormat="1" ht="15.95" customHeight="1" x14ac:dyDescent="0.25">
      <c r="B237" s="9">
        <v>2</v>
      </c>
      <c r="C237" s="141">
        <f>$C$162</f>
        <v>214.70332612463278</v>
      </c>
      <c r="D237" s="141">
        <f t="shared" ref="D237:D248" si="16">$F$97*$C237</f>
        <v>6.7846251055383968</v>
      </c>
      <c r="F237" s="9">
        <v>2</v>
      </c>
      <c r="G237" s="141">
        <f>$C$162</f>
        <v>214.70332612463278</v>
      </c>
      <c r="H237" s="141">
        <f t="shared" ref="H237:H248" si="17">$F$97*$G237</f>
        <v>6.7846251055383968</v>
      </c>
      <c r="J237" s="9">
        <v>2</v>
      </c>
      <c r="K237" s="141">
        <v>0</v>
      </c>
      <c r="L237" s="141">
        <f t="shared" ref="L237:L248" si="18">$F$97*$K237</f>
        <v>0</v>
      </c>
      <c r="M237" s="3"/>
      <c r="N237" s="3"/>
      <c r="R237" s="3"/>
      <c r="S237" s="3"/>
    </row>
    <row r="238" spans="1:19" s="43" customFormat="1" ht="15.95" customHeight="1" x14ac:dyDescent="0.25">
      <c r="B238" s="9">
        <f>B237+1</f>
        <v>3</v>
      </c>
      <c r="C238" s="141">
        <f>C237+D237</f>
        <v>221.48795123017118</v>
      </c>
      <c r="D238" s="141">
        <f t="shared" si="16"/>
        <v>6.9990192588734095</v>
      </c>
      <c r="F238" s="9">
        <f t="shared" ref="F238:F248" si="19">F237+1</f>
        <v>3</v>
      </c>
      <c r="G238" s="141">
        <f>G237</f>
        <v>214.70332612463278</v>
      </c>
      <c r="H238" s="141">
        <f t="shared" si="17"/>
        <v>6.7846251055383968</v>
      </c>
      <c r="J238" s="9">
        <f t="shared" ref="J238:J248" si="20">J237+1</f>
        <v>3</v>
      </c>
      <c r="K238" s="141">
        <f>K237+H237+L237</f>
        <v>6.7846251055383968</v>
      </c>
      <c r="L238" s="141">
        <f t="shared" si="18"/>
        <v>0.21439415333501335</v>
      </c>
      <c r="M238" s="3"/>
      <c r="N238" s="3"/>
      <c r="R238" s="3"/>
      <c r="S238" s="3"/>
    </row>
    <row r="239" spans="1:19" s="43" customFormat="1" ht="15.95" customHeight="1" x14ac:dyDescent="0.25">
      <c r="B239" s="9">
        <f t="shared" ref="B239:B248" si="21">B238+1</f>
        <v>4</v>
      </c>
      <c r="C239" s="141">
        <f t="shared" ref="C239:C248" si="22">C238+D238</f>
        <v>228.48697048904458</v>
      </c>
      <c r="D239" s="141">
        <f t="shared" si="16"/>
        <v>7.2201882674538096</v>
      </c>
      <c r="F239" s="9">
        <f t="shared" si="19"/>
        <v>4</v>
      </c>
      <c r="G239" s="141">
        <f t="shared" ref="G239:G248" si="23">G238</f>
        <v>214.70332612463278</v>
      </c>
      <c r="H239" s="141">
        <f t="shared" si="17"/>
        <v>6.7846251055383968</v>
      </c>
      <c r="J239" s="9">
        <f t="shared" si="20"/>
        <v>4</v>
      </c>
      <c r="K239" s="141">
        <f t="shared" ref="K239:K248" si="24">K238+H238+L238</f>
        <v>13.783644364411806</v>
      </c>
      <c r="L239" s="141">
        <f t="shared" si="18"/>
        <v>0.43556316191541311</v>
      </c>
      <c r="M239" s="3"/>
      <c r="N239" s="3"/>
      <c r="R239" s="3"/>
      <c r="S239" s="3"/>
    </row>
    <row r="240" spans="1:19" s="43" customFormat="1" ht="15.95" customHeight="1" x14ac:dyDescent="0.25">
      <c r="B240" s="9">
        <f t="shared" si="21"/>
        <v>5</v>
      </c>
      <c r="C240" s="141">
        <f t="shared" si="22"/>
        <v>235.70715875649839</v>
      </c>
      <c r="D240" s="141">
        <f t="shared" si="16"/>
        <v>7.4483462167053496</v>
      </c>
      <c r="F240" s="9">
        <f t="shared" si="19"/>
        <v>5</v>
      </c>
      <c r="G240" s="141">
        <f t="shared" si="23"/>
        <v>214.70332612463278</v>
      </c>
      <c r="H240" s="141">
        <f t="shared" si="17"/>
        <v>6.7846251055383968</v>
      </c>
      <c r="J240" s="9">
        <f t="shared" si="20"/>
        <v>5</v>
      </c>
      <c r="K240" s="141">
        <f t="shared" si="24"/>
        <v>21.003832631865617</v>
      </c>
      <c r="L240" s="141">
        <f t="shared" si="18"/>
        <v>0.66372111116695354</v>
      </c>
      <c r="M240" s="3"/>
      <c r="N240" s="3"/>
      <c r="R240" s="3"/>
      <c r="S240" s="3"/>
    </row>
    <row r="241" spans="2:20" s="43" customFormat="1" ht="15.95" customHeight="1" x14ac:dyDescent="0.25">
      <c r="B241" s="9">
        <f t="shared" si="21"/>
        <v>6</v>
      </c>
      <c r="C241" s="141">
        <f t="shared" si="22"/>
        <v>243.15550497320373</v>
      </c>
      <c r="D241" s="141">
        <f t="shared" si="16"/>
        <v>7.6837139571532385</v>
      </c>
      <c r="F241" s="9">
        <f t="shared" si="19"/>
        <v>6</v>
      </c>
      <c r="G241" s="141">
        <f t="shared" si="23"/>
        <v>214.70332612463278</v>
      </c>
      <c r="H241" s="141">
        <f t="shared" si="17"/>
        <v>6.7846251055383968</v>
      </c>
      <c r="J241" s="9">
        <f t="shared" si="20"/>
        <v>6</v>
      </c>
      <c r="K241" s="141">
        <f t="shared" si="24"/>
        <v>28.452178848570966</v>
      </c>
      <c r="L241" s="141">
        <f t="shared" si="18"/>
        <v>0.89908885161484264</v>
      </c>
      <c r="M241" s="3"/>
      <c r="N241" s="3"/>
      <c r="R241" s="3"/>
      <c r="S241" s="3"/>
    </row>
    <row r="242" spans="2:20" s="43" customFormat="1" ht="15.95" customHeight="1" x14ac:dyDescent="0.25">
      <c r="B242" s="9">
        <f t="shared" si="21"/>
        <v>7</v>
      </c>
      <c r="C242" s="141">
        <f t="shared" si="22"/>
        <v>250.83921893035696</v>
      </c>
      <c r="D242" s="141">
        <f t="shared" si="16"/>
        <v>7.926519318199281</v>
      </c>
      <c r="F242" s="9">
        <f t="shared" si="19"/>
        <v>7</v>
      </c>
      <c r="G242" s="141">
        <f t="shared" si="23"/>
        <v>214.70332612463278</v>
      </c>
      <c r="H242" s="141">
        <f t="shared" si="17"/>
        <v>6.7846251055383968</v>
      </c>
      <c r="J242" s="9">
        <f t="shared" si="20"/>
        <v>7</v>
      </c>
      <c r="K242" s="141">
        <f t="shared" si="24"/>
        <v>36.135892805724204</v>
      </c>
      <c r="L242" s="141">
        <f t="shared" si="18"/>
        <v>1.1418942126608849</v>
      </c>
      <c r="M242" s="3"/>
      <c r="N242" s="3"/>
      <c r="R242" s="3"/>
      <c r="S242" s="3"/>
    </row>
    <row r="243" spans="2:20" s="43" customFormat="1" ht="15.95" customHeight="1" x14ac:dyDescent="0.25">
      <c r="B243" s="9">
        <f t="shared" si="21"/>
        <v>8</v>
      </c>
      <c r="C243" s="141">
        <f t="shared" si="22"/>
        <v>258.76573824855626</v>
      </c>
      <c r="D243" s="141">
        <f t="shared" si="16"/>
        <v>8.1769973286543784</v>
      </c>
      <c r="F243" s="9">
        <f t="shared" si="19"/>
        <v>8</v>
      </c>
      <c r="G243" s="141">
        <f t="shared" si="23"/>
        <v>214.70332612463278</v>
      </c>
      <c r="H243" s="141">
        <f t="shared" si="17"/>
        <v>6.7846251055383968</v>
      </c>
      <c r="J243" s="9">
        <f t="shared" si="20"/>
        <v>8</v>
      </c>
      <c r="K243" s="141">
        <f t="shared" si="24"/>
        <v>44.062412123923487</v>
      </c>
      <c r="L243" s="141">
        <f t="shared" si="18"/>
        <v>1.3923722231159823</v>
      </c>
      <c r="M243" s="3"/>
      <c r="N243" s="3"/>
      <c r="R243" s="3"/>
      <c r="S243" s="3"/>
    </row>
    <row r="244" spans="2:20" s="43" customFormat="1" ht="15.95" customHeight="1" x14ac:dyDescent="0.25">
      <c r="B244" s="9">
        <f t="shared" si="21"/>
        <v>9</v>
      </c>
      <c r="C244" s="141">
        <f t="shared" si="22"/>
        <v>266.94273557721061</v>
      </c>
      <c r="D244" s="141">
        <f t="shared" si="16"/>
        <v>8.4353904442398555</v>
      </c>
      <c r="F244" s="9">
        <f t="shared" si="19"/>
        <v>9</v>
      </c>
      <c r="G244" s="141">
        <f t="shared" si="23"/>
        <v>214.70332612463278</v>
      </c>
      <c r="H244" s="141">
        <f t="shared" si="17"/>
        <v>6.7846251055383968</v>
      </c>
      <c r="J244" s="9">
        <f t="shared" si="20"/>
        <v>9</v>
      </c>
      <c r="K244" s="141">
        <f t="shared" si="24"/>
        <v>52.239409452577867</v>
      </c>
      <c r="L244" s="141">
        <f t="shared" si="18"/>
        <v>1.6507653387014607</v>
      </c>
      <c r="M244" s="3"/>
      <c r="N244" s="3"/>
      <c r="R244" s="3"/>
      <c r="S244" s="3"/>
    </row>
    <row r="245" spans="2:20" s="43" customFormat="1" ht="15.95" customHeight="1" x14ac:dyDescent="0.25">
      <c r="B245" s="9">
        <f t="shared" si="21"/>
        <v>10</v>
      </c>
      <c r="C245" s="141">
        <f t="shared" si="22"/>
        <v>275.37812602145044</v>
      </c>
      <c r="D245" s="141">
        <f t="shared" si="16"/>
        <v>8.7019487822778352</v>
      </c>
      <c r="F245" s="9">
        <f t="shared" si="19"/>
        <v>10</v>
      </c>
      <c r="G245" s="141">
        <f t="shared" si="23"/>
        <v>214.70332612463278</v>
      </c>
      <c r="H245" s="141">
        <f t="shared" si="17"/>
        <v>6.7846251055383968</v>
      </c>
      <c r="J245" s="9">
        <f t="shared" si="20"/>
        <v>10</v>
      </c>
      <c r="K245" s="141">
        <f t="shared" si="24"/>
        <v>60.674799896817724</v>
      </c>
      <c r="L245" s="141">
        <f t="shared" si="18"/>
        <v>1.9173236767394404</v>
      </c>
      <c r="M245" s="3"/>
      <c r="N245" s="3"/>
      <c r="R245" s="3"/>
      <c r="S245" s="3"/>
    </row>
    <row r="246" spans="2:20" s="43" customFormat="1" ht="15.95" customHeight="1" x14ac:dyDescent="0.25">
      <c r="B246" s="9">
        <f t="shared" si="21"/>
        <v>11</v>
      </c>
      <c r="C246" s="141">
        <f t="shared" si="22"/>
        <v>284.08007480372828</v>
      </c>
      <c r="D246" s="141">
        <f t="shared" si="16"/>
        <v>8.9769303637978144</v>
      </c>
      <c r="F246" s="9">
        <f t="shared" si="19"/>
        <v>11</v>
      </c>
      <c r="G246" s="141">
        <f t="shared" si="23"/>
        <v>214.70332612463278</v>
      </c>
      <c r="H246" s="141">
        <f t="shared" si="17"/>
        <v>6.7846251055383968</v>
      </c>
      <c r="J246" s="9">
        <f t="shared" si="20"/>
        <v>11</v>
      </c>
      <c r="K246" s="141">
        <f t="shared" si="24"/>
        <v>69.37674867909557</v>
      </c>
      <c r="L246" s="141">
        <f t="shared" si="18"/>
        <v>2.1923052582594202</v>
      </c>
      <c r="M246" s="3"/>
      <c r="N246" s="3"/>
      <c r="R246" s="3"/>
      <c r="S246" s="3"/>
    </row>
    <row r="247" spans="2:20" s="43" customFormat="1" ht="15.95" customHeight="1" x14ac:dyDescent="0.25">
      <c r="B247" s="9">
        <f t="shared" si="21"/>
        <v>12</v>
      </c>
      <c r="C247" s="141">
        <f t="shared" si="22"/>
        <v>293.05700516752609</v>
      </c>
      <c r="D247" s="141">
        <f t="shared" si="16"/>
        <v>9.2606013632938247</v>
      </c>
      <c r="F247" s="9">
        <f t="shared" si="19"/>
        <v>12</v>
      </c>
      <c r="G247" s="141">
        <f t="shared" si="23"/>
        <v>214.70332612463278</v>
      </c>
      <c r="H247" s="141">
        <f t="shared" si="17"/>
        <v>6.7846251055383968</v>
      </c>
      <c r="J247" s="9">
        <f t="shared" si="20"/>
        <v>12</v>
      </c>
      <c r="K247" s="141">
        <f t="shared" si="24"/>
        <v>78.35367904289339</v>
      </c>
      <c r="L247" s="141">
        <f t="shared" si="18"/>
        <v>2.4759762577554314</v>
      </c>
      <c r="M247" s="3"/>
      <c r="N247" s="3"/>
      <c r="R247" s="3"/>
      <c r="S247" s="3"/>
    </row>
    <row r="248" spans="2:20" s="43" customFormat="1" ht="15.95" customHeight="1" x14ac:dyDescent="0.25">
      <c r="B248" s="9">
        <f t="shared" si="21"/>
        <v>13</v>
      </c>
      <c r="C248" s="141">
        <f t="shared" si="22"/>
        <v>302.31760653081989</v>
      </c>
      <c r="D248" s="141">
        <f t="shared" si="16"/>
        <v>9.553236366373909</v>
      </c>
      <c r="F248" s="9">
        <f t="shared" si="19"/>
        <v>13</v>
      </c>
      <c r="G248" s="141">
        <f t="shared" si="23"/>
        <v>214.70332612463278</v>
      </c>
      <c r="H248" s="141">
        <f t="shared" si="17"/>
        <v>6.7846251055383968</v>
      </c>
      <c r="J248" s="9">
        <f t="shared" si="20"/>
        <v>13</v>
      </c>
      <c r="K248" s="141">
        <f t="shared" si="24"/>
        <v>87.61428040618722</v>
      </c>
      <c r="L248" s="141">
        <f t="shared" si="18"/>
        <v>2.7686112608355162</v>
      </c>
      <c r="M248" s="3"/>
      <c r="N248" s="3"/>
      <c r="R248" s="3"/>
      <c r="S248" s="3"/>
    </row>
    <row r="249" spans="2:20" s="43" customFormat="1" ht="15.95" customHeight="1" x14ac:dyDescent="0.25">
      <c r="D249" s="266">
        <f>SUM(D237:D248)</f>
        <v>97.167516772561115</v>
      </c>
      <c r="H249" s="266">
        <f>SUM(H237:H248)</f>
        <v>81.415501266460765</v>
      </c>
      <c r="L249" s="266">
        <f>SUM(L237:L248)</f>
        <v>15.75201550610036</v>
      </c>
      <c r="M249" s="267"/>
      <c r="N249" s="267"/>
      <c r="R249" s="267"/>
      <c r="S249" s="267"/>
    </row>
    <row r="250" spans="2:20" s="43" customFormat="1" ht="15.95" customHeight="1" x14ac:dyDescent="0.25">
      <c r="D250" s="267"/>
      <c r="L250" s="268"/>
      <c r="M250" s="267"/>
      <c r="N250" s="267"/>
      <c r="R250" s="267"/>
      <c r="S250" s="267"/>
    </row>
    <row r="251" spans="2:20" ht="24.95" customHeight="1" x14ac:dyDescent="0.25">
      <c r="B251" s="384" t="s">
        <v>480</v>
      </c>
    </row>
    <row r="252" spans="2:20" s="43" customFormat="1" ht="15.95" customHeight="1" x14ac:dyDescent="0.25">
      <c r="B252" s="43" t="s">
        <v>504</v>
      </c>
    </row>
    <row r="253" spans="2:20" s="43" customFormat="1" ht="15.95" customHeight="1" x14ac:dyDescent="0.25">
      <c r="T253" s="265"/>
    </row>
    <row r="254" spans="2:20" s="43" customFormat="1" ht="20.100000000000001" customHeight="1" x14ac:dyDescent="0.25">
      <c r="C254" s="606" t="s">
        <v>95</v>
      </c>
      <c r="D254" s="606"/>
      <c r="E254" s="606"/>
      <c r="G254" s="606" t="s">
        <v>94</v>
      </c>
      <c r="H254" s="606"/>
      <c r="I254" s="606"/>
      <c r="K254" s="578" t="s">
        <v>481</v>
      </c>
      <c r="L254" s="612"/>
      <c r="M254" s="579"/>
      <c r="Q254" s="7"/>
      <c r="R254" s="7"/>
      <c r="S254" s="7"/>
    </row>
    <row r="255" spans="2:20" s="43" customFormat="1" ht="20.100000000000001" customHeight="1" x14ac:dyDescent="0.25">
      <c r="C255" s="186" t="s">
        <v>179</v>
      </c>
      <c r="D255" s="186" t="s">
        <v>72</v>
      </c>
      <c r="E255" s="186" t="s">
        <v>71</v>
      </c>
      <c r="G255" s="186" t="s">
        <v>179</v>
      </c>
      <c r="H255" s="186" t="s">
        <v>72</v>
      </c>
      <c r="I255" s="186" t="s">
        <v>71</v>
      </c>
      <c r="K255" s="186" t="s">
        <v>179</v>
      </c>
      <c r="L255" s="186" t="s">
        <v>72</v>
      </c>
      <c r="M255" s="186" t="s">
        <v>71</v>
      </c>
      <c r="Q255" s="7"/>
      <c r="R255" s="7"/>
      <c r="S255" s="7"/>
    </row>
    <row r="256" spans="2:20" s="43" customFormat="1" ht="15.95" customHeight="1" x14ac:dyDescent="0.25">
      <c r="C256" s="141">
        <f>$C$237</f>
        <v>214.70332612463278</v>
      </c>
      <c r="D256" s="141">
        <f>$D$249</f>
        <v>97.167516772561115</v>
      </c>
      <c r="E256" s="270">
        <f>D256/C256</f>
        <v>0.45256642515242873</v>
      </c>
      <c r="G256" s="141">
        <f>$G$237</f>
        <v>214.70332612463278</v>
      </c>
      <c r="H256" s="141">
        <f>$H$249</f>
        <v>81.415501266460765</v>
      </c>
      <c r="I256" s="270">
        <f>H256/G256</f>
        <v>0.37920000000000009</v>
      </c>
      <c r="K256" s="141">
        <f>$C$237</f>
        <v>214.70332612463278</v>
      </c>
      <c r="L256" s="141">
        <f>$L$249</f>
        <v>15.75201550610036</v>
      </c>
      <c r="M256" s="270">
        <f>L256/K256</f>
        <v>7.3366425152428694E-2</v>
      </c>
      <c r="N256" s="271"/>
      <c r="Q256" s="3"/>
      <c r="R256" s="3"/>
      <c r="S256" s="3"/>
    </row>
    <row r="257" spans="1:19" s="43" customFormat="1" ht="15.95" customHeight="1" x14ac:dyDescent="0.25">
      <c r="C257" s="3"/>
      <c r="D257" s="3"/>
      <c r="E257" s="272"/>
      <c r="G257" s="3"/>
      <c r="H257" s="3"/>
      <c r="J257" s="3"/>
      <c r="K257" s="3"/>
      <c r="L257" s="272"/>
      <c r="M257" s="3"/>
      <c r="N257" s="271"/>
      <c r="Q257" s="3"/>
      <c r="R257" s="3"/>
      <c r="S257" s="3"/>
    </row>
    <row r="258" spans="1:19" s="43" customFormat="1" ht="15.95" customHeight="1" x14ac:dyDescent="0.25">
      <c r="C258" s="277" t="s">
        <v>505</v>
      </c>
      <c r="D258" s="141">
        <f>$D$237</f>
        <v>6.7846251055383968</v>
      </c>
      <c r="E258" s="272"/>
      <c r="G258" s="277" t="s">
        <v>505</v>
      </c>
      <c r="H258" s="141">
        <f>$H$237</f>
        <v>6.7846251055383968</v>
      </c>
      <c r="M258" s="3"/>
      <c r="N258" s="271"/>
      <c r="Q258" s="3"/>
      <c r="R258" s="3"/>
      <c r="S258" s="3"/>
    </row>
    <row r="259" spans="1:19" s="43" customFormat="1" ht="15.95" customHeight="1" x14ac:dyDescent="0.25">
      <c r="C259" s="277" t="s">
        <v>506</v>
      </c>
      <c r="D259" s="141">
        <f>D258*12</f>
        <v>81.415501266460765</v>
      </c>
      <c r="E259" s="272"/>
      <c r="G259" s="277" t="s">
        <v>506</v>
      </c>
      <c r="H259" s="141">
        <f>H258*12</f>
        <v>81.415501266460765</v>
      </c>
      <c r="M259" s="3"/>
      <c r="N259" s="271"/>
      <c r="Q259" s="3"/>
      <c r="R259" s="3"/>
      <c r="S259" s="3"/>
    </row>
    <row r="260" spans="1:19" s="43" customFormat="1" ht="15.95" customHeight="1" x14ac:dyDescent="0.25">
      <c r="C260" s="277" t="s">
        <v>477</v>
      </c>
      <c r="D260" s="141">
        <f>$D$256-$D$259</f>
        <v>15.752015506100349</v>
      </c>
      <c r="E260" s="272"/>
      <c r="G260" s="277" t="s">
        <v>476</v>
      </c>
      <c r="H260" s="141">
        <f>$H$256-$H$259</f>
        <v>0</v>
      </c>
      <c r="M260" s="3"/>
      <c r="N260" s="271"/>
      <c r="Q260" s="3"/>
      <c r="R260" s="3"/>
      <c r="S260" s="3"/>
    </row>
    <row r="261" spans="1:19" s="43" customFormat="1" ht="15.95" customHeight="1" x14ac:dyDescent="0.25">
      <c r="C261" s="3"/>
      <c r="D261" s="3"/>
      <c r="E261" s="272"/>
      <c r="J261" s="3"/>
      <c r="K261" s="3"/>
      <c r="L261" s="272"/>
      <c r="M261" s="3"/>
      <c r="N261" s="271"/>
      <c r="Q261" s="3"/>
      <c r="R261" s="3"/>
      <c r="S261" s="3"/>
    </row>
    <row r="262" spans="1:19" s="43" customFormat="1" ht="15.95" customHeight="1" x14ac:dyDescent="0.25">
      <c r="B262" s="43" t="s">
        <v>502</v>
      </c>
      <c r="D262" s="267"/>
      <c r="H262" s="267"/>
      <c r="L262" s="268"/>
      <c r="M262" s="267"/>
      <c r="N262" s="267"/>
      <c r="R262" s="267"/>
      <c r="S262" s="267"/>
    </row>
    <row r="263" spans="1:19" s="43" customFormat="1" ht="15.95" customHeight="1" x14ac:dyDescent="0.25">
      <c r="D263" s="267"/>
      <c r="H263" s="267"/>
      <c r="L263" s="268"/>
      <c r="M263" s="267"/>
      <c r="N263" s="267"/>
      <c r="R263" s="267"/>
      <c r="S263" s="267"/>
    </row>
    <row r="264" spans="1:19" s="274" customFormat="1" ht="24.95" customHeight="1" x14ac:dyDescent="0.25">
      <c r="A264" s="380" t="s">
        <v>688</v>
      </c>
      <c r="D264" s="275"/>
      <c r="H264" s="275"/>
      <c r="L264" s="276"/>
      <c r="M264" s="275"/>
      <c r="N264" s="275"/>
      <c r="R264" s="275"/>
      <c r="S264" s="275"/>
    </row>
    <row r="265" spans="1:19" s="43" customFormat="1" ht="15.95" customHeight="1" x14ac:dyDescent="0.25">
      <c r="B265" s="43" t="s">
        <v>689</v>
      </c>
      <c r="D265" s="267"/>
      <c r="H265" s="267"/>
      <c r="L265" s="268"/>
      <c r="M265" s="267"/>
      <c r="N265" s="267"/>
      <c r="R265" s="267"/>
      <c r="S265" s="267"/>
    </row>
    <row r="266" spans="1:19" s="43" customFormat="1" ht="15.95" customHeight="1" x14ac:dyDescent="0.25">
      <c r="B266" s="43" t="s">
        <v>501</v>
      </c>
      <c r="D266" s="267"/>
      <c r="H266" s="267"/>
      <c r="L266" s="268"/>
      <c r="M266" s="267"/>
      <c r="N266" s="267"/>
      <c r="R266" s="267"/>
      <c r="S266" s="267"/>
    </row>
    <row r="267" spans="1:19" s="43" customFormat="1" ht="15.95" customHeight="1" x14ac:dyDescent="0.25">
      <c r="B267" s="43" t="s">
        <v>713</v>
      </c>
      <c r="D267" s="267"/>
      <c r="H267" s="267"/>
      <c r="L267" s="268"/>
      <c r="M267" s="267"/>
      <c r="N267" s="267"/>
      <c r="R267" s="267"/>
      <c r="S267" s="267"/>
    </row>
    <row r="268" spans="1:19" s="43" customFormat="1" ht="15.95" customHeight="1" x14ac:dyDescent="0.25"/>
    <row r="269" spans="1:19" s="43" customFormat="1" ht="24.95" customHeight="1" x14ac:dyDescent="0.25">
      <c r="B269" s="390" t="s">
        <v>551</v>
      </c>
      <c r="F269" s="390" t="s">
        <v>552</v>
      </c>
      <c r="J269" s="390" t="s">
        <v>553</v>
      </c>
    </row>
    <row r="270" spans="1:19" ht="20.100000000000001" customHeight="1" x14ac:dyDescent="0.25">
      <c r="B270" s="594" t="s">
        <v>503</v>
      </c>
      <c r="C270" s="606"/>
      <c r="D270" s="606"/>
      <c r="F270" s="594" t="s">
        <v>503</v>
      </c>
      <c r="G270" s="606"/>
      <c r="H270" s="606"/>
      <c r="J270" s="594" t="s">
        <v>503</v>
      </c>
      <c r="K270" s="606"/>
      <c r="L270" s="606"/>
      <c r="M270" s="7"/>
      <c r="N270" s="7"/>
      <c r="R270" s="7"/>
      <c r="S270" s="7"/>
    </row>
    <row r="271" spans="1:19" ht="20.100000000000001" customHeight="1" x14ac:dyDescent="0.25">
      <c r="B271" s="94" t="s">
        <v>64</v>
      </c>
      <c r="C271" s="8" t="s">
        <v>24</v>
      </c>
      <c r="D271" s="92" t="s">
        <v>65</v>
      </c>
      <c r="F271" s="94" t="s">
        <v>64</v>
      </c>
      <c r="G271" s="8" t="s">
        <v>24</v>
      </c>
      <c r="H271" s="92" t="s">
        <v>65</v>
      </c>
      <c r="J271" s="94" t="s">
        <v>64</v>
      </c>
      <c r="K271" s="8" t="s">
        <v>570</v>
      </c>
      <c r="L271" s="92" t="s">
        <v>65</v>
      </c>
      <c r="M271" s="6"/>
      <c r="N271" s="6"/>
      <c r="R271" s="6"/>
      <c r="S271" s="6"/>
    </row>
    <row r="272" spans="1:19" s="43" customFormat="1" ht="15.95" customHeight="1" x14ac:dyDescent="0.25">
      <c r="B272" s="9">
        <v>3</v>
      </c>
      <c r="C272" s="141">
        <f>$C$163</f>
        <v>221.48795123017118</v>
      </c>
      <c r="D272" s="141">
        <f t="shared" ref="D272:D283" si="25">$F$97*$C272</f>
        <v>6.9990192588734095</v>
      </c>
      <c r="F272" s="9">
        <v>3</v>
      </c>
      <c r="G272" s="141">
        <f>$C$163</f>
        <v>221.48795123017118</v>
      </c>
      <c r="H272" s="141">
        <f t="shared" ref="H272:H283" si="26">$F$97*$G272</f>
        <v>6.9990192588734095</v>
      </c>
      <c r="J272" s="9">
        <v>3</v>
      </c>
      <c r="K272" s="141">
        <v>0</v>
      </c>
      <c r="L272" s="141">
        <f t="shared" ref="L272:L283" si="27">$F$97*$K272</f>
        <v>0</v>
      </c>
      <c r="M272" s="3"/>
      <c r="N272" s="3"/>
      <c r="R272" s="3"/>
      <c r="S272" s="3"/>
    </row>
    <row r="273" spans="2:20" s="43" customFormat="1" ht="15.95" customHeight="1" x14ac:dyDescent="0.25">
      <c r="B273" s="9">
        <f>B272+1</f>
        <v>4</v>
      </c>
      <c r="C273" s="141">
        <f>C272+D272</f>
        <v>228.48697048904458</v>
      </c>
      <c r="D273" s="141">
        <f t="shared" si="25"/>
        <v>7.2201882674538096</v>
      </c>
      <c r="F273" s="9">
        <f t="shared" ref="F273:F283" si="28">F272+1</f>
        <v>4</v>
      </c>
      <c r="G273" s="141">
        <f>G272</f>
        <v>221.48795123017118</v>
      </c>
      <c r="H273" s="141">
        <f t="shared" si="26"/>
        <v>6.9990192588734095</v>
      </c>
      <c r="J273" s="9">
        <f t="shared" ref="J273:J283" si="29">J272+1</f>
        <v>4</v>
      </c>
      <c r="K273" s="141">
        <f>K272+H272+L272</f>
        <v>6.9990192588734095</v>
      </c>
      <c r="L273" s="141">
        <f t="shared" si="27"/>
        <v>0.22116900858039976</v>
      </c>
      <c r="M273" s="3"/>
      <c r="N273" s="3"/>
      <c r="R273" s="3"/>
      <c r="S273" s="3"/>
    </row>
    <row r="274" spans="2:20" s="43" customFormat="1" ht="15.95" customHeight="1" x14ac:dyDescent="0.25">
      <c r="B274" s="9">
        <f t="shared" ref="B274:B283" si="30">B273+1</f>
        <v>5</v>
      </c>
      <c r="C274" s="141">
        <f t="shared" ref="C274:C283" si="31">C273+D273</f>
        <v>235.70715875649839</v>
      </c>
      <c r="D274" s="141">
        <f t="shared" si="25"/>
        <v>7.4483462167053496</v>
      </c>
      <c r="F274" s="9">
        <f t="shared" si="28"/>
        <v>5</v>
      </c>
      <c r="G274" s="141">
        <f t="shared" ref="G274:G283" si="32">G273</f>
        <v>221.48795123017118</v>
      </c>
      <c r="H274" s="141">
        <f t="shared" si="26"/>
        <v>6.9990192588734095</v>
      </c>
      <c r="J274" s="9">
        <f t="shared" si="29"/>
        <v>5</v>
      </c>
      <c r="K274" s="141">
        <f t="shared" ref="K274:K283" si="33">K273+H273+L273</f>
        <v>14.219207526327219</v>
      </c>
      <c r="L274" s="141">
        <f t="shared" si="27"/>
        <v>0.44932695783194015</v>
      </c>
      <c r="M274" s="3"/>
      <c r="N274" s="3"/>
      <c r="R274" s="3"/>
      <c r="S274" s="3"/>
    </row>
    <row r="275" spans="2:20" s="43" customFormat="1" ht="15.95" customHeight="1" x14ac:dyDescent="0.25">
      <c r="B275" s="9">
        <f t="shared" si="30"/>
        <v>6</v>
      </c>
      <c r="C275" s="141">
        <f t="shared" si="31"/>
        <v>243.15550497320373</v>
      </c>
      <c r="D275" s="141">
        <f t="shared" si="25"/>
        <v>7.6837139571532385</v>
      </c>
      <c r="F275" s="9">
        <f t="shared" si="28"/>
        <v>6</v>
      </c>
      <c r="G275" s="141">
        <f t="shared" si="32"/>
        <v>221.48795123017118</v>
      </c>
      <c r="H275" s="141">
        <f t="shared" si="26"/>
        <v>6.9990192588734095</v>
      </c>
      <c r="J275" s="9">
        <f t="shared" si="29"/>
        <v>6</v>
      </c>
      <c r="K275" s="141">
        <f t="shared" si="33"/>
        <v>21.667553743032567</v>
      </c>
      <c r="L275" s="141">
        <f t="shared" si="27"/>
        <v>0.68469469827982921</v>
      </c>
      <c r="M275" s="3"/>
      <c r="N275" s="3"/>
      <c r="R275" s="3"/>
      <c r="S275" s="3"/>
    </row>
    <row r="276" spans="2:20" s="43" customFormat="1" ht="15.95" customHeight="1" x14ac:dyDescent="0.25">
      <c r="B276" s="9">
        <f t="shared" si="30"/>
        <v>7</v>
      </c>
      <c r="C276" s="141">
        <f t="shared" si="31"/>
        <v>250.83921893035696</v>
      </c>
      <c r="D276" s="141">
        <f t="shared" si="25"/>
        <v>7.926519318199281</v>
      </c>
      <c r="F276" s="9">
        <f t="shared" si="28"/>
        <v>7</v>
      </c>
      <c r="G276" s="141">
        <f t="shared" si="32"/>
        <v>221.48795123017118</v>
      </c>
      <c r="H276" s="141">
        <f t="shared" si="26"/>
        <v>6.9990192588734095</v>
      </c>
      <c r="J276" s="9">
        <f t="shared" si="29"/>
        <v>7</v>
      </c>
      <c r="K276" s="141">
        <f t="shared" si="33"/>
        <v>29.351267700185808</v>
      </c>
      <c r="L276" s="141">
        <f t="shared" si="27"/>
        <v>0.92750005932587165</v>
      </c>
      <c r="M276" s="3"/>
      <c r="N276" s="3"/>
      <c r="R276" s="3"/>
      <c r="S276" s="3"/>
    </row>
    <row r="277" spans="2:20" s="43" customFormat="1" ht="15.95" customHeight="1" x14ac:dyDescent="0.25">
      <c r="B277" s="9">
        <f t="shared" si="30"/>
        <v>8</v>
      </c>
      <c r="C277" s="141">
        <f t="shared" si="31"/>
        <v>258.76573824855626</v>
      </c>
      <c r="D277" s="141">
        <f t="shared" si="25"/>
        <v>8.1769973286543784</v>
      </c>
      <c r="F277" s="9">
        <f t="shared" si="28"/>
        <v>8</v>
      </c>
      <c r="G277" s="141">
        <f t="shared" si="32"/>
        <v>221.48795123017118</v>
      </c>
      <c r="H277" s="141">
        <f t="shared" si="26"/>
        <v>6.9990192588734095</v>
      </c>
      <c r="J277" s="9">
        <f t="shared" si="29"/>
        <v>8</v>
      </c>
      <c r="K277" s="141">
        <f t="shared" si="33"/>
        <v>37.277787018385091</v>
      </c>
      <c r="L277" s="141">
        <f t="shared" si="27"/>
        <v>1.177978069780969</v>
      </c>
      <c r="M277" s="3"/>
      <c r="N277" s="3"/>
      <c r="R277" s="3"/>
      <c r="S277" s="3"/>
    </row>
    <row r="278" spans="2:20" s="43" customFormat="1" ht="15.95" customHeight="1" x14ac:dyDescent="0.25">
      <c r="B278" s="9">
        <f t="shared" si="30"/>
        <v>9</v>
      </c>
      <c r="C278" s="141">
        <f t="shared" si="31"/>
        <v>266.94273557721061</v>
      </c>
      <c r="D278" s="141">
        <f t="shared" si="25"/>
        <v>8.4353904442398555</v>
      </c>
      <c r="F278" s="9">
        <f t="shared" si="28"/>
        <v>9</v>
      </c>
      <c r="G278" s="141">
        <f t="shared" si="32"/>
        <v>221.48795123017118</v>
      </c>
      <c r="H278" s="141">
        <f t="shared" si="26"/>
        <v>6.9990192588734095</v>
      </c>
      <c r="J278" s="9">
        <f t="shared" si="29"/>
        <v>9</v>
      </c>
      <c r="K278" s="141">
        <f t="shared" si="33"/>
        <v>45.454784347039471</v>
      </c>
      <c r="L278" s="141">
        <f t="shared" si="27"/>
        <v>1.4363711853664474</v>
      </c>
      <c r="M278" s="3"/>
      <c r="N278" s="3"/>
      <c r="R278" s="3"/>
      <c r="S278" s="3"/>
    </row>
    <row r="279" spans="2:20" s="43" customFormat="1" ht="15.95" customHeight="1" x14ac:dyDescent="0.25">
      <c r="B279" s="9">
        <f t="shared" si="30"/>
        <v>10</v>
      </c>
      <c r="C279" s="141">
        <f t="shared" si="31"/>
        <v>275.37812602145044</v>
      </c>
      <c r="D279" s="141">
        <f t="shared" si="25"/>
        <v>8.7019487822778352</v>
      </c>
      <c r="F279" s="9">
        <f t="shared" si="28"/>
        <v>10</v>
      </c>
      <c r="G279" s="141">
        <f t="shared" si="32"/>
        <v>221.48795123017118</v>
      </c>
      <c r="H279" s="141">
        <f t="shared" si="26"/>
        <v>6.9990192588734095</v>
      </c>
      <c r="J279" s="9">
        <f t="shared" si="29"/>
        <v>10</v>
      </c>
      <c r="K279" s="141">
        <f t="shared" si="33"/>
        <v>53.890174791279328</v>
      </c>
      <c r="L279" s="141">
        <f t="shared" si="27"/>
        <v>1.702929523404427</v>
      </c>
      <c r="M279" s="3"/>
      <c r="N279" s="3"/>
      <c r="R279" s="3"/>
      <c r="S279" s="3"/>
    </row>
    <row r="280" spans="2:20" s="43" customFormat="1" ht="15.95" customHeight="1" x14ac:dyDescent="0.25">
      <c r="B280" s="9">
        <f t="shared" si="30"/>
        <v>11</v>
      </c>
      <c r="C280" s="141">
        <f t="shared" si="31"/>
        <v>284.08007480372828</v>
      </c>
      <c r="D280" s="141">
        <f t="shared" si="25"/>
        <v>8.9769303637978144</v>
      </c>
      <c r="F280" s="9">
        <f t="shared" si="28"/>
        <v>11</v>
      </c>
      <c r="G280" s="141">
        <f t="shared" si="32"/>
        <v>221.48795123017118</v>
      </c>
      <c r="H280" s="141">
        <f t="shared" si="26"/>
        <v>6.9990192588734095</v>
      </c>
      <c r="J280" s="9">
        <f t="shared" si="29"/>
        <v>11</v>
      </c>
      <c r="K280" s="141">
        <f t="shared" si="33"/>
        <v>62.592123573557167</v>
      </c>
      <c r="L280" s="141">
        <f t="shared" si="27"/>
        <v>1.9779111049244067</v>
      </c>
      <c r="M280" s="3"/>
      <c r="N280" s="3"/>
      <c r="R280" s="3"/>
      <c r="S280" s="3"/>
    </row>
    <row r="281" spans="2:20" s="43" customFormat="1" ht="15.95" customHeight="1" x14ac:dyDescent="0.25">
      <c r="B281" s="9">
        <f t="shared" si="30"/>
        <v>12</v>
      </c>
      <c r="C281" s="141">
        <f t="shared" si="31"/>
        <v>293.05700516752609</v>
      </c>
      <c r="D281" s="141">
        <f t="shared" si="25"/>
        <v>9.2606013632938247</v>
      </c>
      <c r="F281" s="9">
        <f t="shared" si="28"/>
        <v>12</v>
      </c>
      <c r="G281" s="141">
        <f t="shared" si="32"/>
        <v>221.48795123017118</v>
      </c>
      <c r="H281" s="141">
        <f t="shared" si="26"/>
        <v>6.9990192588734095</v>
      </c>
      <c r="J281" s="9">
        <f t="shared" si="29"/>
        <v>12</v>
      </c>
      <c r="K281" s="141">
        <f t="shared" si="33"/>
        <v>71.56905393735498</v>
      </c>
      <c r="L281" s="141">
        <f t="shared" si="27"/>
        <v>2.2615821044204174</v>
      </c>
      <c r="M281" s="3"/>
      <c r="N281" s="3"/>
      <c r="R281" s="3"/>
      <c r="S281" s="3"/>
    </row>
    <row r="282" spans="2:20" s="43" customFormat="1" ht="15.95" customHeight="1" x14ac:dyDescent="0.25">
      <c r="B282" s="9">
        <f t="shared" si="30"/>
        <v>13</v>
      </c>
      <c r="C282" s="141">
        <f t="shared" si="31"/>
        <v>302.31760653081989</v>
      </c>
      <c r="D282" s="141">
        <f t="shared" si="25"/>
        <v>9.553236366373909</v>
      </c>
      <c r="F282" s="9">
        <f t="shared" si="28"/>
        <v>13</v>
      </c>
      <c r="G282" s="141">
        <f t="shared" si="32"/>
        <v>221.48795123017118</v>
      </c>
      <c r="H282" s="141">
        <f t="shared" si="26"/>
        <v>6.9990192588734095</v>
      </c>
      <c r="J282" s="9">
        <f t="shared" si="29"/>
        <v>13</v>
      </c>
      <c r="K282" s="141">
        <f t="shared" si="33"/>
        <v>80.829655300648795</v>
      </c>
      <c r="L282" s="141">
        <f t="shared" si="27"/>
        <v>2.5542171075005022</v>
      </c>
      <c r="M282" s="3"/>
      <c r="N282" s="3"/>
      <c r="R282" s="3"/>
      <c r="S282" s="3"/>
    </row>
    <row r="283" spans="2:20" s="43" customFormat="1" ht="15.95" customHeight="1" x14ac:dyDescent="0.25">
      <c r="B283" s="9">
        <f t="shared" si="30"/>
        <v>14</v>
      </c>
      <c r="C283" s="141">
        <f t="shared" si="31"/>
        <v>311.87084289719382</v>
      </c>
      <c r="D283" s="141">
        <f t="shared" si="25"/>
        <v>9.8551186355513263</v>
      </c>
      <c r="F283" s="9">
        <f t="shared" si="28"/>
        <v>14</v>
      </c>
      <c r="G283" s="141">
        <f t="shared" si="32"/>
        <v>221.48795123017118</v>
      </c>
      <c r="H283" s="141">
        <f t="shared" si="26"/>
        <v>6.9990192588734095</v>
      </c>
      <c r="J283" s="9">
        <f t="shared" si="29"/>
        <v>14</v>
      </c>
      <c r="K283" s="141">
        <f t="shared" si="33"/>
        <v>90.382891667022704</v>
      </c>
      <c r="L283" s="141">
        <f t="shared" si="27"/>
        <v>2.8560993766779177</v>
      </c>
      <c r="M283" s="3"/>
      <c r="N283" s="3"/>
      <c r="R283" s="3"/>
      <c r="S283" s="3"/>
    </row>
    <row r="284" spans="2:20" s="43" customFormat="1" ht="15.95" customHeight="1" x14ac:dyDescent="0.25">
      <c r="D284" s="266">
        <f>SUM(D272:D283)</f>
        <v>100.23801030257404</v>
      </c>
      <c r="H284" s="266">
        <f>SUM(H272:H283)</f>
        <v>83.988231106480896</v>
      </c>
      <c r="L284" s="266">
        <f>SUM(L272:L283)</f>
        <v>16.249779196093129</v>
      </c>
      <c r="M284" s="267"/>
      <c r="N284" s="267"/>
      <c r="R284" s="267"/>
      <c r="S284" s="267"/>
    </row>
    <row r="285" spans="2:20" s="43" customFormat="1" ht="15.95" customHeight="1" x14ac:dyDescent="0.25">
      <c r="D285" s="267"/>
      <c r="H285" s="267"/>
      <c r="L285" s="268"/>
      <c r="M285" s="267"/>
      <c r="N285" s="267"/>
      <c r="R285" s="267"/>
      <c r="S285" s="267"/>
    </row>
    <row r="286" spans="2:20" s="274" customFormat="1" ht="24.95" customHeight="1" x14ac:dyDescent="0.25">
      <c r="B286" s="384" t="s">
        <v>480</v>
      </c>
    </row>
    <row r="287" spans="2:20" s="43" customFormat="1" ht="15.95" customHeight="1" x14ac:dyDescent="0.25">
      <c r="B287" s="43" t="s">
        <v>507</v>
      </c>
    </row>
    <row r="288" spans="2:20" s="43" customFormat="1" ht="15.95" customHeight="1" x14ac:dyDescent="0.25">
      <c r="T288" s="265"/>
    </row>
    <row r="289" spans="1:19" s="43" customFormat="1" ht="20.100000000000001" customHeight="1" x14ac:dyDescent="0.25">
      <c r="C289" s="606" t="s">
        <v>95</v>
      </c>
      <c r="D289" s="606"/>
      <c r="E289" s="606"/>
      <c r="G289" s="578" t="s">
        <v>94</v>
      </c>
      <c r="H289" s="612"/>
      <c r="I289" s="579"/>
      <c r="K289" s="606" t="s">
        <v>481</v>
      </c>
      <c r="L289" s="606"/>
      <c r="M289" s="606"/>
      <c r="Q289" s="7"/>
      <c r="R289" s="7"/>
      <c r="S289" s="7"/>
    </row>
    <row r="290" spans="1:19" s="43" customFormat="1" ht="20.100000000000001" customHeight="1" x14ac:dyDescent="0.25">
      <c r="C290" s="186" t="s">
        <v>180</v>
      </c>
      <c r="D290" s="186" t="s">
        <v>73</v>
      </c>
      <c r="E290" s="186" t="s">
        <v>71</v>
      </c>
      <c r="G290" s="186" t="s">
        <v>180</v>
      </c>
      <c r="H290" s="186" t="s">
        <v>73</v>
      </c>
      <c r="I290" s="186" t="s">
        <v>71</v>
      </c>
      <c r="K290" s="186" t="s">
        <v>180</v>
      </c>
      <c r="L290" s="186" t="s">
        <v>73</v>
      </c>
      <c r="M290" s="186" t="s">
        <v>71</v>
      </c>
      <c r="Q290" s="7"/>
      <c r="R290" s="7"/>
      <c r="S290" s="7"/>
    </row>
    <row r="291" spans="1:19" s="43" customFormat="1" ht="15.95" customHeight="1" x14ac:dyDescent="0.25">
      <c r="C291" s="141">
        <f>$C$272</f>
        <v>221.48795123017118</v>
      </c>
      <c r="D291" s="141">
        <f>$D$284</f>
        <v>100.23801030257404</v>
      </c>
      <c r="E291" s="270">
        <f>D291/C291</f>
        <v>0.45256642515242868</v>
      </c>
      <c r="G291" s="141">
        <f>$G$272</f>
        <v>221.48795123017118</v>
      </c>
      <c r="H291" s="141">
        <f>$H$284</f>
        <v>83.988231106480896</v>
      </c>
      <c r="I291" s="270">
        <f>H291/G291</f>
        <v>0.37919999999999993</v>
      </c>
      <c r="K291" s="141">
        <f>$C$272</f>
        <v>221.48795123017118</v>
      </c>
      <c r="L291" s="141">
        <f>$L$284</f>
        <v>16.249779196093129</v>
      </c>
      <c r="M291" s="270">
        <f>L291/K291</f>
        <v>7.3366425152428694E-2</v>
      </c>
      <c r="N291" s="271"/>
      <c r="Q291" s="3"/>
      <c r="R291" s="3"/>
      <c r="S291" s="3"/>
    </row>
    <row r="292" spans="1:19" s="43" customFormat="1" ht="15.95" customHeight="1" x14ac:dyDescent="0.25">
      <c r="C292" s="3"/>
      <c r="D292" s="3"/>
      <c r="E292" s="272"/>
      <c r="G292" s="3"/>
      <c r="H292" s="3"/>
      <c r="J292" s="3"/>
      <c r="K292" s="3"/>
      <c r="L292" s="272"/>
      <c r="M292" s="3"/>
      <c r="N292" s="271"/>
      <c r="Q292" s="3"/>
      <c r="R292" s="3"/>
      <c r="S292" s="3"/>
    </row>
    <row r="293" spans="1:19" s="43" customFormat="1" ht="15.95" customHeight="1" x14ac:dyDescent="0.25">
      <c r="C293" s="277" t="s">
        <v>508</v>
      </c>
      <c r="D293" s="141">
        <f>$D$272</f>
        <v>6.9990192588734095</v>
      </c>
      <c r="E293" s="272"/>
      <c r="G293" s="277" t="s">
        <v>508</v>
      </c>
      <c r="H293" s="141">
        <f>$H$272</f>
        <v>6.9990192588734095</v>
      </c>
      <c r="M293" s="3"/>
      <c r="N293" s="271"/>
      <c r="Q293" s="3"/>
      <c r="R293" s="3"/>
      <c r="S293" s="3"/>
    </row>
    <row r="294" spans="1:19" s="43" customFormat="1" ht="15.95" customHeight="1" x14ac:dyDescent="0.25">
      <c r="C294" s="277" t="s">
        <v>509</v>
      </c>
      <c r="D294" s="141">
        <f>D293*12</f>
        <v>83.98823110648091</v>
      </c>
      <c r="E294" s="272"/>
      <c r="G294" s="277" t="s">
        <v>509</v>
      </c>
      <c r="H294" s="141">
        <f>H293*12</f>
        <v>83.98823110648091</v>
      </c>
      <c r="M294" s="3"/>
      <c r="N294" s="271"/>
      <c r="Q294" s="3"/>
      <c r="R294" s="3"/>
      <c r="S294" s="3"/>
    </row>
    <row r="295" spans="1:19" s="43" customFormat="1" ht="15.95" customHeight="1" x14ac:dyDescent="0.25">
      <c r="C295" s="277" t="s">
        <v>477</v>
      </c>
      <c r="D295" s="141">
        <f>$D$291-$D$294</f>
        <v>16.249779196093129</v>
      </c>
      <c r="E295" s="272"/>
      <c r="G295" s="277" t="s">
        <v>476</v>
      </c>
      <c r="H295" s="141">
        <f>$H$291-$H$294</f>
        <v>0</v>
      </c>
      <c r="M295" s="3"/>
      <c r="N295" s="271"/>
      <c r="Q295" s="3"/>
      <c r="R295" s="3"/>
      <c r="S295" s="3"/>
    </row>
    <row r="296" spans="1:19" s="43" customFormat="1" ht="15.95" customHeight="1" x14ac:dyDescent="0.25">
      <c r="C296" s="3"/>
      <c r="D296" s="3"/>
      <c r="E296" s="272"/>
      <c r="J296" s="3"/>
      <c r="K296" s="3"/>
      <c r="L296" s="272"/>
      <c r="M296" s="3"/>
      <c r="N296" s="271"/>
      <c r="Q296" s="3"/>
      <c r="R296" s="3"/>
      <c r="S296" s="3"/>
    </row>
    <row r="297" spans="1:19" s="43" customFormat="1" ht="15.95" customHeight="1" x14ac:dyDescent="0.25">
      <c r="B297" s="43" t="s">
        <v>502</v>
      </c>
      <c r="D297" s="267"/>
      <c r="H297" s="267"/>
      <c r="L297" s="268"/>
      <c r="M297" s="267"/>
      <c r="N297" s="267"/>
      <c r="R297" s="267"/>
      <c r="S297" s="267"/>
    </row>
    <row r="298" spans="1:19" s="43" customFormat="1" ht="15.95" customHeight="1" x14ac:dyDescent="0.25">
      <c r="D298" s="267"/>
      <c r="H298" s="267"/>
      <c r="L298" s="268"/>
      <c r="M298" s="267"/>
      <c r="N298" s="267"/>
      <c r="R298" s="267"/>
      <c r="S298" s="267"/>
    </row>
    <row r="299" spans="1:19" s="274" customFormat="1" ht="24.95" customHeight="1" x14ac:dyDescent="0.25">
      <c r="A299" s="380" t="s">
        <v>690</v>
      </c>
      <c r="D299" s="275"/>
      <c r="H299" s="275"/>
      <c r="L299" s="276"/>
      <c r="M299" s="275"/>
      <c r="N299" s="275"/>
      <c r="R299" s="275"/>
      <c r="S299" s="275"/>
    </row>
    <row r="300" spans="1:19" s="43" customFormat="1" ht="15.95" customHeight="1" x14ac:dyDescent="0.25">
      <c r="B300" s="43" t="s">
        <v>691</v>
      </c>
      <c r="D300" s="267"/>
      <c r="H300" s="267"/>
      <c r="L300" s="268"/>
      <c r="M300" s="267"/>
      <c r="N300" s="267"/>
      <c r="R300" s="267"/>
      <c r="S300" s="267"/>
    </row>
    <row r="301" spans="1:19" s="43" customFormat="1" ht="15.95" customHeight="1" x14ac:dyDescent="0.25">
      <c r="B301" s="43" t="s">
        <v>501</v>
      </c>
      <c r="D301" s="267"/>
      <c r="H301" s="267"/>
      <c r="L301" s="268"/>
      <c r="M301" s="267"/>
      <c r="N301" s="267"/>
      <c r="R301" s="267"/>
      <c r="S301" s="267"/>
    </row>
    <row r="302" spans="1:19" s="43" customFormat="1" ht="15.95" customHeight="1" x14ac:dyDescent="0.25">
      <c r="B302" s="43" t="s">
        <v>714</v>
      </c>
      <c r="D302" s="267"/>
      <c r="H302" s="267"/>
      <c r="L302" s="268"/>
      <c r="M302" s="267"/>
      <c r="N302" s="267"/>
      <c r="R302" s="267"/>
      <c r="S302" s="267"/>
    </row>
    <row r="303" spans="1:19" s="43" customFormat="1" ht="15.95" customHeight="1" x14ac:dyDescent="0.25"/>
    <row r="304" spans="1:19" s="43" customFormat="1" ht="24.95" customHeight="1" x14ac:dyDescent="0.25">
      <c r="B304" s="390" t="s">
        <v>554</v>
      </c>
      <c r="F304" s="390" t="s">
        <v>555</v>
      </c>
      <c r="J304" s="390" t="s">
        <v>556</v>
      </c>
    </row>
    <row r="305" spans="2:19" ht="20.100000000000001" customHeight="1" x14ac:dyDescent="0.25">
      <c r="B305" s="594" t="s">
        <v>510</v>
      </c>
      <c r="C305" s="606"/>
      <c r="D305" s="606"/>
      <c r="F305" s="594" t="s">
        <v>510</v>
      </c>
      <c r="G305" s="606"/>
      <c r="H305" s="606"/>
      <c r="J305" s="594" t="s">
        <v>510</v>
      </c>
      <c r="K305" s="606"/>
      <c r="L305" s="606"/>
      <c r="M305" s="7"/>
      <c r="N305" s="7"/>
      <c r="R305" s="7"/>
      <c r="S305" s="7"/>
    </row>
    <row r="306" spans="2:19" ht="20.100000000000001" customHeight="1" x14ac:dyDescent="0.25">
      <c r="B306" s="94" t="s">
        <v>64</v>
      </c>
      <c r="C306" s="8" t="s">
        <v>24</v>
      </c>
      <c r="D306" s="92" t="s">
        <v>65</v>
      </c>
      <c r="F306" s="94" t="s">
        <v>64</v>
      </c>
      <c r="G306" s="8" t="s">
        <v>24</v>
      </c>
      <c r="H306" s="92" t="s">
        <v>65</v>
      </c>
      <c r="J306" s="94" t="s">
        <v>64</v>
      </c>
      <c r="K306" s="8" t="s">
        <v>570</v>
      </c>
      <c r="L306" s="92" t="s">
        <v>65</v>
      </c>
      <c r="M306" s="6"/>
      <c r="N306" s="6"/>
      <c r="R306" s="6"/>
      <c r="S306" s="6"/>
    </row>
    <row r="307" spans="2:19" s="43" customFormat="1" ht="15.95" customHeight="1" x14ac:dyDescent="0.25">
      <c r="B307" s="9">
        <v>4</v>
      </c>
      <c r="C307" s="141">
        <f>$C$164</f>
        <v>228.48697048904458</v>
      </c>
      <c r="D307" s="141">
        <f t="shared" ref="D307:D318" si="34">$F$97*$C307</f>
        <v>7.2201882674538096</v>
      </c>
      <c r="F307" s="9">
        <v>4</v>
      </c>
      <c r="G307" s="141">
        <f>$C$164</f>
        <v>228.48697048904458</v>
      </c>
      <c r="H307" s="141">
        <f t="shared" ref="H307:H318" si="35">$F$97*$G307</f>
        <v>7.2201882674538096</v>
      </c>
      <c r="J307" s="9">
        <v>4</v>
      </c>
      <c r="K307" s="141">
        <v>0</v>
      </c>
      <c r="L307" s="141">
        <f t="shared" ref="L307:L318" si="36">$F$97*$K307</f>
        <v>0</v>
      </c>
      <c r="M307" s="3"/>
      <c r="N307" s="3"/>
      <c r="R307" s="3"/>
      <c r="S307" s="3"/>
    </row>
    <row r="308" spans="2:19" s="43" customFormat="1" ht="15.95" customHeight="1" x14ac:dyDescent="0.25">
      <c r="B308" s="9">
        <f>B307+1</f>
        <v>5</v>
      </c>
      <c r="C308" s="141">
        <f>C307+D307</f>
        <v>235.70715875649839</v>
      </c>
      <c r="D308" s="141">
        <f t="shared" si="34"/>
        <v>7.4483462167053496</v>
      </c>
      <c r="F308" s="9">
        <f t="shared" ref="F308:F318" si="37">F307+1</f>
        <v>5</v>
      </c>
      <c r="G308" s="141">
        <f>G307</f>
        <v>228.48697048904458</v>
      </c>
      <c r="H308" s="141">
        <f t="shared" si="35"/>
        <v>7.2201882674538096</v>
      </c>
      <c r="J308" s="9">
        <f t="shared" ref="J308:J318" si="38">J307+1</f>
        <v>5</v>
      </c>
      <c r="K308" s="141">
        <f>K307+H307+L307</f>
        <v>7.2201882674538096</v>
      </c>
      <c r="L308" s="141">
        <f t="shared" si="36"/>
        <v>0.2281579492515404</v>
      </c>
      <c r="M308" s="3"/>
      <c r="N308" s="3"/>
      <c r="R308" s="3"/>
      <c r="S308" s="3"/>
    </row>
    <row r="309" spans="2:19" s="43" customFormat="1" ht="15.95" customHeight="1" x14ac:dyDescent="0.25">
      <c r="B309" s="9">
        <f t="shared" ref="B309:B318" si="39">B308+1</f>
        <v>6</v>
      </c>
      <c r="C309" s="141">
        <f t="shared" ref="C309:C318" si="40">C308+D308</f>
        <v>243.15550497320373</v>
      </c>
      <c r="D309" s="141">
        <f t="shared" si="34"/>
        <v>7.6837139571532385</v>
      </c>
      <c r="F309" s="9">
        <f t="shared" si="37"/>
        <v>6</v>
      </c>
      <c r="G309" s="141">
        <f t="shared" ref="G309:G318" si="41">G308</f>
        <v>228.48697048904458</v>
      </c>
      <c r="H309" s="141">
        <f t="shared" si="35"/>
        <v>7.2201882674538096</v>
      </c>
      <c r="J309" s="9">
        <f t="shared" si="38"/>
        <v>6</v>
      </c>
      <c r="K309" s="141">
        <f t="shared" ref="K309:K318" si="42">K308+H308+L308</f>
        <v>14.66853448415916</v>
      </c>
      <c r="L309" s="141">
        <f t="shared" si="36"/>
        <v>0.46352568969942948</v>
      </c>
      <c r="M309" s="3"/>
      <c r="N309" s="3"/>
      <c r="R309" s="3"/>
      <c r="S309" s="3"/>
    </row>
    <row r="310" spans="2:19" s="43" customFormat="1" ht="15.95" customHeight="1" x14ac:dyDescent="0.25">
      <c r="B310" s="9">
        <f t="shared" si="39"/>
        <v>7</v>
      </c>
      <c r="C310" s="141">
        <f t="shared" si="40"/>
        <v>250.83921893035696</v>
      </c>
      <c r="D310" s="141">
        <f t="shared" si="34"/>
        <v>7.926519318199281</v>
      </c>
      <c r="F310" s="9">
        <f t="shared" si="37"/>
        <v>7</v>
      </c>
      <c r="G310" s="141">
        <f t="shared" si="41"/>
        <v>228.48697048904458</v>
      </c>
      <c r="H310" s="141">
        <f t="shared" si="35"/>
        <v>7.2201882674538096</v>
      </c>
      <c r="J310" s="9">
        <f t="shared" si="38"/>
        <v>7</v>
      </c>
      <c r="K310" s="141">
        <f t="shared" si="42"/>
        <v>22.352248441312401</v>
      </c>
      <c r="L310" s="141">
        <f t="shared" si="36"/>
        <v>0.70633105074547198</v>
      </c>
      <c r="M310" s="3"/>
      <c r="N310" s="3"/>
      <c r="R310" s="3"/>
      <c r="S310" s="3"/>
    </row>
    <row r="311" spans="2:19" s="43" customFormat="1" ht="15.95" customHeight="1" x14ac:dyDescent="0.25">
      <c r="B311" s="9">
        <f t="shared" si="39"/>
        <v>8</v>
      </c>
      <c r="C311" s="141">
        <f t="shared" si="40"/>
        <v>258.76573824855626</v>
      </c>
      <c r="D311" s="141">
        <f t="shared" si="34"/>
        <v>8.1769973286543784</v>
      </c>
      <c r="F311" s="9">
        <f t="shared" si="37"/>
        <v>8</v>
      </c>
      <c r="G311" s="141">
        <f t="shared" si="41"/>
        <v>228.48697048904458</v>
      </c>
      <c r="H311" s="141">
        <f t="shared" si="35"/>
        <v>7.2201882674538096</v>
      </c>
      <c r="J311" s="9">
        <f t="shared" si="38"/>
        <v>8</v>
      </c>
      <c r="K311" s="141">
        <f t="shared" si="42"/>
        <v>30.278767759511684</v>
      </c>
      <c r="L311" s="141">
        <f t="shared" si="36"/>
        <v>0.9568090612005693</v>
      </c>
      <c r="M311" s="3"/>
      <c r="N311" s="3"/>
      <c r="R311" s="3"/>
      <c r="S311" s="3"/>
    </row>
    <row r="312" spans="2:19" s="43" customFormat="1" ht="15.95" customHeight="1" x14ac:dyDescent="0.25">
      <c r="B312" s="9">
        <f t="shared" si="39"/>
        <v>9</v>
      </c>
      <c r="C312" s="141">
        <f t="shared" si="40"/>
        <v>266.94273557721061</v>
      </c>
      <c r="D312" s="141">
        <f t="shared" si="34"/>
        <v>8.4353904442398555</v>
      </c>
      <c r="F312" s="9">
        <f t="shared" si="37"/>
        <v>9</v>
      </c>
      <c r="G312" s="141">
        <f t="shared" si="41"/>
        <v>228.48697048904458</v>
      </c>
      <c r="H312" s="141">
        <f t="shared" si="35"/>
        <v>7.2201882674538096</v>
      </c>
      <c r="J312" s="9">
        <f t="shared" si="38"/>
        <v>9</v>
      </c>
      <c r="K312" s="141">
        <f t="shared" si="42"/>
        <v>38.455765088166061</v>
      </c>
      <c r="L312" s="141">
        <f t="shared" si="36"/>
        <v>1.2152021767860477</v>
      </c>
      <c r="M312" s="3"/>
      <c r="N312" s="3"/>
      <c r="R312" s="3"/>
      <c r="S312" s="3"/>
    </row>
    <row r="313" spans="2:19" s="43" customFormat="1" ht="15.95" customHeight="1" x14ac:dyDescent="0.25">
      <c r="B313" s="9">
        <f t="shared" si="39"/>
        <v>10</v>
      </c>
      <c r="C313" s="141">
        <f t="shared" si="40"/>
        <v>275.37812602145044</v>
      </c>
      <c r="D313" s="141">
        <f t="shared" si="34"/>
        <v>8.7019487822778352</v>
      </c>
      <c r="F313" s="9">
        <f t="shared" si="37"/>
        <v>10</v>
      </c>
      <c r="G313" s="141">
        <f t="shared" si="41"/>
        <v>228.48697048904458</v>
      </c>
      <c r="H313" s="141">
        <f t="shared" si="35"/>
        <v>7.2201882674538096</v>
      </c>
      <c r="J313" s="9">
        <f t="shared" si="38"/>
        <v>10</v>
      </c>
      <c r="K313" s="141">
        <f t="shared" si="42"/>
        <v>46.891155532405918</v>
      </c>
      <c r="L313" s="141">
        <f t="shared" si="36"/>
        <v>1.4817605148240272</v>
      </c>
      <c r="M313" s="3"/>
      <c r="N313" s="3"/>
      <c r="R313" s="3"/>
      <c r="S313" s="3"/>
    </row>
    <row r="314" spans="2:19" s="43" customFormat="1" ht="15.95" customHeight="1" x14ac:dyDescent="0.25">
      <c r="B314" s="9">
        <f t="shared" si="39"/>
        <v>11</v>
      </c>
      <c r="C314" s="141">
        <f t="shared" si="40"/>
        <v>284.08007480372828</v>
      </c>
      <c r="D314" s="141">
        <f t="shared" si="34"/>
        <v>8.9769303637978144</v>
      </c>
      <c r="F314" s="9">
        <f t="shared" si="37"/>
        <v>11</v>
      </c>
      <c r="G314" s="141">
        <f t="shared" si="41"/>
        <v>228.48697048904458</v>
      </c>
      <c r="H314" s="141">
        <f t="shared" si="35"/>
        <v>7.2201882674538096</v>
      </c>
      <c r="J314" s="9">
        <f t="shared" si="38"/>
        <v>11</v>
      </c>
      <c r="K314" s="141">
        <f t="shared" si="42"/>
        <v>55.59310431468375</v>
      </c>
      <c r="L314" s="141">
        <f t="shared" si="36"/>
        <v>1.7567420963440066</v>
      </c>
      <c r="M314" s="3"/>
      <c r="N314" s="3"/>
      <c r="R314" s="3"/>
      <c r="S314" s="3"/>
    </row>
    <row r="315" spans="2:19" s="43" customFormat="1" ht="15.95" customHeight="1" x14ac:dyDescent="0.25">
      <c r="B315" s="9">
        <f t="shared" si="39"/>
        <v>12</v>
      </c>
      <c r="C315" s="141">
        <f t="shared" si="40"/>
        <v>293.05700516752609</v>
      </c>
      <c r="D315" s="141">
        <f t="shared" si="34"/>
        <v>9.2606013632938247</v>
      </c>
      <c r="F315" s="9">
        <f t="shared" si="37"/>
        <v>12</v>
      </c>
      <c r="G315" s="141">
        <f t="shared" si="41"/>
        <v>228.48697048904458</v>
      </c>
      <c r="H315" s="141">
        <f t="shared" si="35"/>
        <v>7.2201882674538096</v>
      </c>
      <c r="J315" s="9">
        <f t="shared" si="38"/>
        <v>12</v>
      </c>
      <c r="K315" s="141">
        <f t="shared" si="42"/>
        <v>64.570034678481562</v>
      </c>
      <c r="L315" s="141">
        <f t="shared" si="36"/>
        <v>2.0404130958400177</v>
      </c>
      <c r="M315" s="3"/>
      <c r="N315" s="3"/>
      <c r="R315" s="3"/>
      <c r="S315" s="3"/>
    </row>
    <row r="316" spans="2:19" s="43" customFormat="1" ht="15.95" customHeight="1" x14ac:dyDescent="0.25">
      <c r="B316" s="9">
        <f t="shared" si="39"/>
        <v>13</v>
      </c>
      <c r="C316" s="141">
        <f t="shared" si="40"/>
        <v>302.31760653081989</v>
      </c>
      <c r="D316" s="141">
        <f t="shared" si="34"/>
        <v>9.553236366373909</v>
      </c>
      <c r="F316" s="9">
        <f t="shared" si="37"/>
        <v>13</v>
      </c>
      <c r="G316" s="141">
        <f t="shared" si="41"/>
        <v>228.48697048904458</v>
      </c>
      <c r="H316" s="141">
        <f t="shared" si="35"/>
        <v>7.2201882674538096</v>
      </c>
      <c r="J316" s="9">
        <f t="shared" si="38"/>
        <v>13</v>
      </c>
      <c r="K316" s="141">
        <f t="shared" si="42"/>
        <v>73.830636041775392</v>
      </c>
      <c r="L316" s="141">
        <f t="shared" si="36"/>
        <v>2.3330480989201026</v>
      </c>
      <c r="M316" s="3"/>
      <c r="N316" s="3"/>
      <c r="R316" s="3"/>
      <c r="S316" s="3"/>
    </row>
    <row r="317" spans="2:19" s="43" customFormat="1" ht="15.95" customHeight="1" x14ac:dyDescent="0.25">
      <c r="B317" s="9">
        <f t="shared" si="39"/>
        <v>14</v>
      </c>
      <c r="C317" s="141">
        <f t="shared" si="40"/>
        <v>311.87084289719382</v>
      </c>
      <c r="D317" s="141">
        <f t="shared" si="34"/>
        <v>9.8551186355513263</v>
      </c>
      <c r="F317" s="9">
        <f t="shared" si="37"/>
        <v>14</v>
      </c>
      <c r="G317" s="141">
        <f t="shared" si="41"/>
        <v>228.48697048904458</v>
      </c>
      <c r="H317" s="141">
        <f t="shared" si="35"/>
        <v>7.2201882674538096</v>
      </c>
      <c r="J317" s="9">
        <f t="shared" si="38"/>
        <v>14</v>
      </c>
      <c r="K317" s="141">
        <f t="shared" si="42"/>
        <v>83.383872408149301</v>
      </c>
      <c r="L317" s="141">
        <f t="shared" si="36"/>
        <v>2.634930368097518</v>
      </c>
      <c r="M317" s="3"/>
      <c r="N317" s="3"/>
      <c r="R317" s="3"/>
      <c r="S317" s="3"/>
    </row>
    <row r="318" spans="2:19" s="43" customFormat="1" ht="15.95" customHeight="1" x14ac:dyDescent="0.25">
      <c r="B318" s="9">
        <f t="shared" si="39"/>
        <v>15</v>
      </c>
      <c r="C318" s="141">
        <f t="shared" si="40"/>
        <v>321.72596153274515</v>
      </c>
      <c r="D318" s="141">
        <f t="shared" si="34"/>
        <v>10.166540384434748</v>
      </c>
      <c r="F318" s="9">
        <f t="shared" si="37"/>
        <v>15</v>
      </c>
      <c r="G318" s="141">
        <f t="shared" si="41"/>
        <v>228.48697048904458</v>
      </c>
      <c r="H318" s="141">
        <f t="shared" si="35"/>
        <v>7.2201882674538096</v>
      </c>
      <c r="J318" s="9">
        <f t="shared" si="38"/>
        <v>15</v>
      </c>
      <c r="K318" s="141">
        <f t="shared" si="42"/>
        <v>93.238991043700622</v>
      </c>
      <c r="L318" s="141">
        <f t="shared" si="36"/>
        <v>2.9463521169809401</v>
      </c>
      <c r="M318" s="3"/>
      <c r="N318" s="3"/>
      <c r="R318" s="3"/>
      <c r="S318" s="3"/>
    </row>
    <row r="319" spans="2:19" s="43" customFormat="1" ht="15.95" customHeight="1" x14ac:dyDescent="0.25">
      <c r="D319" s="266">
        <f>SUM(D307:D318)</f>
        <v>103.40553142813539</v>
      </c>
      <c r="H319" s="266">
        <f>SUM(H307:H318)</f>
        <v>86.642259209445697</v>
      </c>
      <c r="L319" s="266">
        <f>SUM(L307:L318)</f>
        <v>16.763272218689671</v>
      </c>
      <c r="M319" s="267"/>
      <c r="N319" s="267"/>
      <c r="R319" s="267"/>
      <c r="S319" s="267"/>
    </row>
    <row r="320" spans="2:19" s="43" customFormat="1" ht="15.95" customHeight="1" x14ac:dyDescent="0.25">
      <c r="D320" s="267"/>
      <c r="H320" s="267"/>
      <c r="L320" s="268"/>
      <c r="M320" s="267"/>
      <c r="N320" s="267"/>
      <c r="R320" s="267"/>
      <c r="S320" s="267"/>
    </row>
    <row r="321" spans="1:20" s="274" customFormat="1" ht="24.95" customHeight="1" x14ac:dyDescent="0.25">
      <c r="B321" s="384" t="s">
        <v>480</v>
      </c>
    </row>
    <row r="322" spans="1:20" s="43" customFormat="1" ht="15.95" customHeight="1" x14ac:dyDescent="0.25">
      <c r="B322" s="43" t="s">
        <v>511</v>
      </c>
    </row>
    <row r="323" spans="1:20" s="43" customFormat="1" ht="15.95" customHeight="1" x14ac:dyDescent="0.25">
      <c r="T323" s="265"/>
    </row>
    <row r="324" spans="1:20" s="43" customFormat="1" ht="20.100000000000001" customHeight="1" x14ac:dyDescent="0.25">
      <c r="C324" s="606" t="s">
        <v>95</v>
      </c>
      <c r="D324" s="606"/>
      <c r="E324" s="606"/>
      <c r="G324" s="578" t="s">
        <v>94</v>
      </c>
      <c r="H324" s="612"/>
      <c r="I324" s="579"/>
      <c r="K324" s="606" t="s">
        <v>481</v>
      </c>
      <c r="L324" s="606"/>
      <c r="M324" s="606"/>
      <c r="Q324" s="7"/>
      <c r="R324" s="7"/>
      <c r="S324" s="7"/>
    </row>
    <row r="325" spans="1:20" s="43" customFormat="1" ht="20.100000000000001" customHeight="1" x14ac:dyDescent="0.25">
      <c r="C325" s="186" t="s">
        <v>181</v>
      </c>
      <c r="D325" s="186" t="s">
        <v>74</v>
      </c>
      <c r="E325" s="186" t="s">
        <v>71</v>
      </c>
      <c r="G325" s="186" t="s">
        <v>181</v>
      </c>
      <c r="H325" s="186" t="s">
        <v>74</v>
      </c>
      <c r="I325" s="186" t="s">
        <v>71</v>
      </c>
      <c r="K325" s="186" t="s">
        <v>181</v>
      </c>
      <c r="L325" s="186" t="s">
        <v>74</v>
      </c>
      <c r="M325" s="186" t="s">
        <v>71</v>
      </c>
      <c r="Q325" s="7"/>
      <c r="R325" s="7"/>
      <c r="S325" s="7"/>
    </row>
    <row r="326" spans="1:20" s="43" customFormat="1" ht="15.95" customHeight="1" x14ac:dyDescent="0.25">
      <c r="C326" s="141">
        <f>$C$307</f>
        <v>228.48697048904458</v>
      </c>
      <c r="D326" s="141">
        <f>$D$319</f>
        <v>103.40553142813539</v>
      </c>
      <c r="E326" s="270">
        <f>D326/C326</f>
        <v>0.45256642515242873</v>
      </c>
      <c r="G326" s="141">
        <f>$G$307</f>
        <v>228.48697048904458</v>
      </c>
      <c r="H326" s="141">
        <f>$H$319</f>
        <v>86.642259209445697</v>
      </c>
      <c r="I326" s="270">
        <f>H326/G326</f>
        <v>0.37919999999999998</v>
      </c>
      <c r="K326" s="141">
        <f>$G$307</f>
        <v>228.48697048904458</v>
      </c>
      <c r="L326" s="141">
        <f>$L$319</f>
        <v>16.763272218689671</v>
      </c>
      <c r="M326" s="270">
        <f>L326/K326</f>
        <v>7.3366425152428694E-2</v>
      </c>
      <c r="N326" s="271"/>
      <c r="Q326" s="3"/>
      <c r="R326" s="3"/>
      <c r="S326" s="3"/>
    </row>
    <row r="327" spans="1:20" s="43" customFormat="1" ht="15.95" customHeight="1" x14ac:dyDescent="0.25">
      <c r="C327" s="3"/>
      <c r="D327" s="3"/>
      <c r="E327" s="272"/>
      <c r="G327" s="3"/>
      <c r="H327" s="3"/>
      <c r="J327" s="3"/>
      <c r="K327" s="3"/>
      <c r="L327" s="272"/>
      <c r="M327" s="3"/>
      <c r="N327" s="271"/>
      <c r="Q327" s="3"/>
      <c r="R327" s="3"/>
      <c r="S327" s="3"/>
    </row>
    <row r="328" spans="1:20" s="43" customFormat="1" ht="15.95" customHeight="1" x14ac:dyDescent="0.25">
      <c r="C328" s="273" t="s">
        <v>512</v>
      </c>
      <c r="D328" s="141">
        <f>$D$307</f>
        <v>7.2201882674538096</v>
      </c>
      <c r="E328" s="272"/>
      <c r="G328" s="273" t="s">
        <v>512</v>
      </c>
      <c r="H328" s="141">
        <f>$H$307</f>
        <v>7.2201882674538096</v>
      </c>
      <c r="M328" s="3"/>
      <c r="N328" s="271"/>
      <c r="Q328" s="3"/>
      <c r="R328" s="3"/>
      <c r="S328" s="3"/>
    </row>
    <row r="329" spans="1:20" s="43" customFormat="1" ht="15.95" customHeight="1" x14ac:dyDescent="0.25">
      <c r="C329" s="273" t="s">
        <v>513</v>
      </c>
      <c r="D329" s="141">
        <f>D328*12</f>
        <v>86.642259209445712</v>
      </c>
      <c r="E329" s="272"/>
      <c r="G329" s="273" t="s">
        <v>513</v>
      </c>
      <c r="H329" s="141">
        <f>H328*12</f>
        <v>86.642259209445712</v>
      </c>
      <c r="M329" s="3"/>
      <c r="N329" s="271"/>
      <c r="Q329" s="3"/>
      <c r="R329" s="3"/>
      <c r="S329" s="3"/>
    </row>
    <row r="330" spans="1:20" s="43" customFormat="1" ht="15.95" customHeight="1" x14ac:dyDescent="0.25">
      <c r="C330" s="273" t="s">
        <v>477</v>
      </c>
      <c r="D330" s="141">
        <f>$D$326-$D$329</f>
        <v>16.763272218689679</v>
      </c>
      <c r="E330" s="272"/>
      <c r="G330" s="273" t="s">
        <v>476</v>
      </c>
      <c r="H330" s="141">
        <f>$H$326-$H$329</f>
        <v>0</v>
      </c>
      <c r="M330" s="3"/>
      <c r="N330" s="271"/>
      <c r="Q330" s="3"/>
      <c r="R330" s="3"/>
      <c r="S330" s="3"/>
    </row>
    <row r="331" spans="1:20" s="43" customFormat="1" ht="15.95" customHeight="1" x14ac:dyDescent="0.25">
      <c r="C331" s="3"/>
      <c r="D331" s="3"/>
      <c r="E331" s="272"/>
      <c r="J331" s="3"/>
      <c r="K331" s="3"/>
      <c r="L331" s="272"/>
      <c r="M331" s="3"/>
      <c r="N331" s="271"/>
      <c r="Q331" s="3"/>
      <c r="R331" s="3"/>
      <c r="S331" s="3"/>
    </row>
    <row r="332" spans="1:20" s="43" customFormat="1" ht="15.95" customHeight="1" x14ac:dyDescent="0.25">
      <c r="B332" s="43" t="s">
        <v>502</v>
      </c>
      <c r="D332" s="267"/>
      <c r="H332" s="267"/>
      <c r="L332" s="268"/>
      <c r="M332" s="267"/>
      <c r="N332" s="267"/>
      <c r="R332" s="267"/>
      <c r="S332" s="267"/>
    </row>
    <row r="333" spans="1:20" s="43" customFormat="1" ht="15.95" customHeight="1" x14ac:dyDescent="0.25"/>
    <row r="334" spans="1:20" s="43" customFormat="1" ht="24.95" customHeight="1" x14ac:dyDescent="0.25">
      <c r="A334" s="378" t="s">
        <v>514</v>
      </c>
    </row>
    <row r="335" spans="1:20" s="43" customFormat="1" ht="15.95" customHeight="1" x14ac:dyDescent="0.25">
      <c r="B335" s="43" t="s">
        <v>460</v>
      </c>
    </row>
    <row r="336" spans="1:20" s="43" customFormat="1" ht="15.95" customHeight="1" x14ac:dyDescent="0.25">
      <c r="B336" s="43" t="s">
        <v>461</v>
      </c>
    </row>
    <row r="337" spans="1:11" s="43" customFormat="1" ht="15.95" customHeight="1" x14ac:dyDescent="0.25">
      <c r="B337" s="43" t="s">
        <v>290</v>
      </c>
    </row>
    <row r="338" spans="1:11" s="43" customFormat="1" ht="15.95" customHeight="1" x14ac:dyDescent="0.25"/>
    <row r="339" spans="1:11" s="38" customFormat="1" ht="15.95" customHeight="1" x14ac:dyDescent="0.25">
      <c r="A339" s="282"/>
      <c r="B339" s="77" t="s">
        <v>623</v>
      </c>
    </row>
    <row r="340" spans="1:11" s="43" customFormat="1" ht="15.95" customHeight="1" x14ac:dyDescent="0.25">
      <c r="B340" s="77" t="s">
        <v>601</v>
      </c>
    </row>
    <row r="341" spans="1:11" s="43" customFormat="1" ht="15.95" customHeight="1" x14ac:dyDescent="0.25">
      <c r="B341" s="77" t="s">
        <v>462</v>
      </c>
    </row>
    <row r="342" spans="1:11" s="43" customFormat="1" ht="15.95" customHeight="1" x14ac:dyDescent="0.25">
      <c r="B342" s="77" t="s">
        <v>602</v>
      </c>
    </row>
    <row r="343" spans="1:11" s="43" customFormat="1" ht="15.95" customHeight="1" x14ac:dyDescent="0.25">
      <c r="B343" s="77" t="s">
        <v>515</v>
      </c>
    </row>
    <row r="344" spans="1:11" s="43" customFormat="1" ht="15.95" customHeight="1" x14ac:dyDescent="0.25">
      <c r="B344" s="77" t="s">
        <v>599</v>
      </c>
    </row>
    <row r="345" spans="1:11" s="43" customFormat="1" ht="15.95" customHeight="1" x14ac:dyDescent="0.25">
      <c r="B345" s="77" t="s">
        <v>600</v>
      </c>
    </row>
    <row r="346" spans="1:11" s="43" customFormat="1" ht="15.95" customHeight="1" x14ac:dyDescent="0.25">
      <c r="B346" s="77" t="s">
        <v>632</v>
      </c>
    </row>
    <row r="347" spans="1:11" s="43" customFormat="1" ht="15.95" customHeight="1" x14ac:dyDescent="0.25">
      <c r="B347" s="77" t="s">
        <v>469</v>
      </c>
    </row>
    <row r="348" spans="1:11" s="43" customFormat="1" ht="15.95" customHeight="1" x14ac:dyDescent="0.25">
      <c r="A348" s="83"/>
    </row>
    <row r="349" spans="1:11" s="274" customFormat="1" ht="24.95" customHeight="1" x14ac:dyDescent="0.25">
      <c r="B349" s="385" t="s">
        <v>468</v>
      </c>
    </row>
    <row r="350" spans="1:11" s="43" customFormat="1" ht="15.95" customHeight="1" x14ac:dyDescent="0.25">
      <c r="A350" s="83"/>
      <c r="B350" s="402" t="s">
        <v>470</v>
      </c>
    </row>
    <row r="351" spans="1:11" s="43" customFormat="1" ht="15.95" customHeight="1" x14ac:dyDescent="0.25">
      <c r="A351" s="83"/>
    </row>
    <row r="352" spans="1:11" s="38" customFormat="1" ht="20.100000000000001" customHeight="1" x14ac:dyDescent="0.25">
      <c r="C352" s="76" t="s">
        <v>468</v>
      </c>
      <c r="D352" s="40"/>
      <c r="G352"/>
      <c r="H352"/>
      <c r="I352"/>
      <c r="J352"/>
      <c r="K352"/>
    </row>
    <row r="353" spans="2:15" s="38" customFormat="1" ht="15.95" customHeight="1" x14ac:dyDescent="0.25">
      <c r="B353" s="136"/>
      <c r="C353" s="283">
        <v>36</v>
      </c>
      <c r="D353" s="136"/>
      <c r="G353" s="43"/>
      <c r="H353" s="43"/>
      <c r="I353" s="43"/>
      <c r="J353" s="43"/>
      <c r="K353" s="43"/>
    </row>
    <row r="354" spans="2:15" s="43" customFormat="1" ht="15.95" customHeight="1" x14ac:dyDescent="0.25">
      <c r="C354" s="284" t="str">
        <f>IF(OR($C$353&lt;12,$C$353&gt;'Os juros sobre juros'!E33),"PRESTAÇÃO INCORRETA","")</f>
        <v/>
      </c>
    </row>
    <row r="355" spans="2:15" s="274" customFormat="1" ht="24.95" customHeight="1" x14ac:dyDescent="0.25">
      <c r="B355" s="384" t="s">
        <v>473</v>
      </c>
    </row>
    <row r="356" spans="2:15" s="43" customFormat="1" ht="15.95" customHeight="1" x14ac:dyDescent="0.25">
      <c r="B356" s="43" t="s">
        <v>478</v>
      </c>
    </row>
    <row r="357" spans="2:15" s="43" customFormat="1" ht="15.95" customHeight="1" x14ac:dyDescent="0.25">
      <c r="B357" s="43" t="s">
        <v>500</v>
      </c>
    </row>
    <row r="358" spans="2:15" x14ac:dyDescent="0.25">
      <c r="E358" s="38"/>
    </row>
    <row r="359" spans="2:15" s="43" customFormat="1" ht="23.1" customHeight="1" x14ac:dyDescent="0.25">
      <c r="B359" s="390" t="s">
        <v>132</v>
      </c>
      <c r="F359" s="38"/>
      <c r="G359" s="38"/>
      <c r="H359" s="38"/>
      <c r="I359" s="38"/>
      <c r="J359" s="38"/>
      <c r="K359"/>
      <c r="L359"/>
      <c r="M359"/>
      <c r="N359"/>
      <c r="O359"/>
    </row>
    <row r="360" spans="2:15" ht="20.100000000000001" customHeight="1" x14ac:dyDescent="0.25">
      <c r="B360" s="594" t="str">
        <f>CONCATENATE("Prestação ",$C$353)</f>
        <v>Prestação 36</v>
      </c>
      <c r="C360" s="606"/>
      <c r="D360" s="606"/>
      <c r="F360" s="38"/>
      <c r="G360" s="38"/>
      <c r="H360" s="38"/>
      <c r="I360" s="38"/>
      <c r="J360" s="38"/>
    </row>
    <row r="361" spans="2:15" ht="20.100000000000001" customHeight="1" x14ac:dyDescent="0.25">
      <c r="B361" s="30" t="s">
        <v>64</v>
      </c>
      <c r="C361" s="8" t="s">
        <v>24</v>
      </c>
      <c r="D361" s="29" t="s">
        <v>65</v>
      </c>
      <c r="F361" s="38"/>
      <c r="G361" s="38"/>
      <c r="H361" s="38"/>
      <c r="I361" s="38"/>
      <c r="J361" s="38"/>
    </row>
    <row r="362" spans="2:15" s="38" customFormat="1" ht="15.95" customHeight="1" x14ac:dyDescent="0.25">
      <c r="B362" s="98">
        <v>1</v>
      </c>
      <c r="C362" s="125">
        <f>VLOOKUP($C$353,Tabela_06,3,0)</f>
        <v>108.29026991718021</v>
      </c>
      <c r="D362" s="125">
        <f>$F$97*C362</f>
        <v>3.4219725293828951</v>
      </c>
    </row>
    <row r="363" spans="2:15" s="38" customFormat="1" ht="15.95" customHeight="1" x14ac:dyDescent="0.25">
      <c r="B363" s="98">
        <f>B362+1</f>
        <v>2</v>
      </c>
      <c r="C363" s="125">
        <f>C362+D362</f>
        <v>111.71224244656311</v>
      </c>
      <c r="D363" s="125">
        <f t="shared" ref="D363:D397" si="43">$F$97*$C363</f>
        <v>3.5301068613113946</v>
      </c>
    </row>
    <row r="364" spans="2:15" s="38" customFormat="1" ht="15.95" customHeight="1" x14ac:dyDescent="0.25">
      <c r="B364" s="98">
        <f t="shared" ref="B364:B397" si="44">B363+1</f>
        <v>3</v>
      </c>
      <c r="C364" s="125">
        <f t="shared" ref="C364:C373" si="45">C363+D363</f>
        <v>115.24234930787451</v>
      </c>
      <c r="D364" s="125">
        <f t="shared" si="43"/>
        <v>3.6416582381288349</v>
      </c>
    </row>
    <row r="365" spans="2:15" s="38" customFormat="1" ht="15.95" customHeight="1" x14ac:dyDescent="0.25">
      <c r="B365" s="98">
        <f t="shared" si="44"/>
        <v>4</v>
      </c>
      <c r="C365" s="125">
        <f t="shared" si="45"/>
        <v>118.88400754600335</v>
      </c>
      <c r="D365" s="125">
        <f t="shared" si="43"/>
        <v>3.7567346384537061</v>
      </c>
    </row>
    <row r="366" spans="2:15" s="38" customFormat="1" ht="15.95" customHeight="1" x14ac:dyDescent="0.25">
      <c r="B366" s="98">
        <f t="shared" si="44"/>
        <v>5</v>
      </c>
      <c r="C366" s="125">
        <f t="shared" si="45"/>
        <v>122.64074218445705</v>
      </c>
      <c r="D366" s="125">
        <f t="shared" si="43"/>
        <v>3.8754474530288432</v>
      </c>
    </row>
    <row r="367" spans="2:15" s="38" customFormat="1" ht="15.95" customHeight="1" x14ac:dyDescent="0.25">
      <c r="B367" s="98">
        <f t="shared" si="44"/>
        <v>6</v>
      </c>
      <c r="C367" s="125">
        <f t="shared" si="45"/>
        <v>126.51618963748589</v>
      </c>
      <c r="D367" s="125">
        <f t="shared" si="43"/>
        <v>3.9979115925445545</v>
      </c>
    </row>
    <row r="368" spans="2:15" s="38" customFormat="1" ht="15.95" customHeight="1" x14ac:dyDescent="0.25">
      <c r="B368" s="98">
        <f t="shared" si="44"/>
        <v>7</v>
      </c>
      <c r="C368" s="125">
        <f t="shared" si="45"/>
        <v>130.51410123003046</v>
      </c>
      <c r="D368" s="125">
        <f t="shared" si="43"/>
        <v>4.1242455988689626</v>
      </c>
    </row>
    <row r="369" spans="2:10" s="38" customFormat="1" ht="15.95" customHeight="1" x14ac:dyDescent="0.25">
      <c r="B369" s="98">
        <f t="shared" si="44"/>
        <v>8</v>
      </c>
      <c r="C369" s="125">
        <f t="shared" si="45"/>
        <v>134.63834682889942</v>
      </c>
      <c r="D369" s="125">
        <f t="shared" si="43"/>
        <v>4.2545717597932216</v>
      </c>
    </row>
    <row r="370" spans="2:10" s="38" customFormat="1" ht="15.95" customHeight="1" x14ac:dyDescent="0.25">
      <c r="B370" s="98">
        <f t="shared" si="44"/>
        <v>9</v>
      </c>
      <c r="C370" s="125">
        <f t="shared" si="45"/>
        <v>138.89291858869262</v>
      </c>
      <c r="D370" s="125">
        <f t="shared" si="43"/>
        <v>4.3890162274026876</v>
      </c>
    </row>
    <row r="371" spans="2:10" s="38" customFormat="1" ht="15.95" customHeight="1" x14ac:dyDescent="0.25">
      <c r="B371" s="98">
        <f t="shared" si="44"/>
        <v>10</v>
      </c>
      <c r="C371" s="125">
        <f t="shared" si="45"/>
        <v>143.28193481609532</v>
      </c>
      <c r="D371" s="125">
        <f t="shared" si="43"/>
        <v>4.5277091401886125</v>
      </c>
    </row>
    <row r="372" spans="2:10" s="38" customFormat="1" ht="15.95" customHeight="1" x14ac:dyDescent="0.25">
      <c r="B372" s="98">
        <f t="shared" si="44"/>
        <v>11</v>
      </c>
      <c r="C372" s="125">
        <f t="shared" si="45"/>
        <v>147.80964395628394</v>
      </c>
      <c r="D372" s="125">
        <f t="shared" si="43"/>
        <v>4.6707847490185728</v>
      </c>
    </row>
    <row r="373" spans="2:10" s="38" customFormat="1" ht="15.95" customHeight="1" x14ac:dyDescent="0.25">
      <c r="B373" s="98">
        <f t="shared" si="44"/>
        <v>12</v>
      </c>
      <c r="C373" s="125">
        <f t="shared" si="45"/>
        <v>152.4804287053025</v>
      </c>
      <c r="D373" s="125">
        <f t="shared" si="43"/>
        <v>4.8183815470875597</v>
      </c>
    </row>
    <row r="374" spans="2:10" s="38" customFormat="1" ht="15.95" customHeight="1" x14ac:dyDescent="0.25">
      <c r="B374" s="97">
        <f t="shared" si="44"/>
        <v>13</v>
      </c>
      <c r="C374" s="231">
        <f t="shared" ref="C374:C376" si="46">C373+D373</f>
        <v>157.29881025239007</v>
      </c>
      <c r="D374" s="231">
        <f t="shared" si="43"/>
        <v>4.9706424039755266</v>
      </c>
    </row>
    <row r="375" spans="2:10" s="38" customFormat="1" ht="15.95" customHeight="1" x14ac:dyDescent="0.25">
      <c r="B375" s="97">
        <f t="shared" si="44"/>
        <v>14</v>
      </c>
      <c r="C375" s="231">
        <f t="shared" si="46"/>
        <v>162.26945265636559</v>
      </c>
      <c r="D375" s="231">
        <f t="shared" si="43"/>
        <v>5.1277147039411535</v>
      </c>
    </row>
    <row r="376" spans="2:10" s="38" customFormat="1" ht="15.95" customHeight="1" x14ac:dyDescent="0.25">
      <c r="B376" s="97">
        <f t="shared" si="44"/>
        <v>15</v>
      </c>
      <c r="C376" s="231">
        <f t="shared" si="46"/>
        <v>167.39716736030675</v>
      </c>
      <c r="D376" s="231">
        <f t="shared" si="43"/>
        <v>5.2897504885856943</v>
      </c>
    </row>
    <row r="377" spans="2:10" s="38" customFormat="1" ht="15.95" customHeight="1" x14ac:dyDescent="0.25">
      <c r="B377" s="97">
        <f t="shared" si="44"/>
        <v>16</v>
      </c>
      <c r="C377" s="231">
        <f t="shared" ref="C377" si="47">C376+D376</f>
        <v>172.68691784889245</v>
      </c>
      <c r="D377" s="231">
        <f t="shared" si="43"/>
        <v>5.4569066040250016</v>
      </c>
    </row>
    <row r="378" spans="2:10" s="95" customFormat="1" ht="15.95" customHeight="1" x14ac:dyDescent="0.25">
      <c r="B378" s="97">
        <f t="shared" si="44"/>
        <v>17</v>
      </c>
      <c r="C378" s="231">
        <f t="shared" ref="C378:C391" si="48">C377+D377</f>
        <v>178.14382445291744</v>
      </c>
      <c r="D378" s="231">
        <f t="shared" si="43"/>
        <v>5.6293448527121921</v>
      </c>
      <c r="F378" s="38"/>
      <c r="G378" s="38"/>
      <c r="H378" s="38"/>
      <c r="I378" s="38"/>
      <c r="J378" s="38"/>
    </row>
    <row r="379" spans="2:10" s="95" customFormat="1" ht="15.95" customHeight="1" x14ac:dyDescent="0.25">
      <c r="B379" s="97">
        <f t="shared" si="44"/>
        <v>18</v>
      </c>
      <c r="C379" s="231">
        <f t="shared" si="48"/>
        <v>183.77316930562964</v>
      </c>
      <c r="D379" s="231">
        <f t="shared" si="43"/>
        <v>5.8072321500578967</v>
      </c>
    </row>
    <row r="380" spans="2:10" s="95" customFormat="1" ht="15.95" customHeight="1" x14ac:dyDescent="0.25">
      <c r="B380" s="97">
        <f t="shared" si="44"/>
        <v>19</v>
      </c>
      <c r="C380" s="231">
        <f t="shared" si="48"/>
        <v>189.58040145568754</v>
      </c>
      <c r="D380" s="231">
        <f t="shared" si="43"/>
        <v>5.990740685999727</v>
      </c>
    </row>
    <row r="381" spans="2:10" s="95" customFormat="1" ht="15.95" customHeight="1" x14ac:dyDescent="0.25">
      <c r="B381" s="97">
        <f t="shared" si="44"/>
        <v>20</v>
      </c>
      <c r="C381" s="231">
        <f t="shared" si="48"/>
        <v>195.57114214168726</v>
      </c>
      <c r="D381" s="231">
        <f t="shared" si="43"/>
        <v>6.1800480916773184</v>
      </c>
    </row>
    <row r="382" spans="2:10" s="95" customFormat="1" ht="15.95" customHeight="1" x14ac:dyDescent="0.25">
      <c r="B382" s="97">
        <f t="shared" si="44"/>
        <v>21</v>
      </c>
      <c r="C382" s="231">
        <f t="shared" si="48"/>
        <v>201.75119023336458</v>
      </c>
      <c r="D382" s="231">
        <f t="shared" si="43"/>
        <v>6.375337611374321</v>
      </c>
    </row>
    <row r="383" spans="2:10" s="95" customFormat="1" ht="15.95" customHeight="1" x14ac:dyDescent="0.25">
      <c r="B383" s="97">
        <f t="shared" si="44"/>
        <v>22</v>
      </c>
      <c r="C383" s="231">
        <f t="shared" si="48"/>
        <v>208.12652784473892</v>
      </c>
      <c r="D383" s="231">
        <f t="shared" si="43"/>
        <v>6.5767982798937501</v>
      </c>
    </row>
    <row r="384" spans="2:10" s="95" customFormat="1" ht="15.95" customHeight="1" x14ac:dyDescent="0.25">
      <c r="B384" s="97">
        <f t="shared" si="44"/>
        <v>23</v>
      </c>
      <c r="C384" s="231">
        <f t="shared" si="48"/>
        <v>214.70332612463267</v>
      </c>
      <c r="D384" s="231">
        <f t="shared" si="43"/>
        <v>6.7846251055383933</v>
      </c>
    </row>
    <row r="385" spans="2:13" s="95" customFormat="1" ht="15.95" customHeight="1" x14ac:dyDescent="0.25">
      <c r="B385" s="97">
        <f t="shared" si="44"/>
        <v>24</v>
      </c>
      <c r="C385" s="231">
        <f t="shared" si="48"/>
        <v>221.48795123017106</v>
      </c>
      <c r="D385" s="231">
        <f t="shared" si="43"/>
        <v>6.9990192588734059</v>
      </c>
    </row>
    <row r="386" spans="2:13" s="95" customFormat="1" ht="15.95" customHeight="1" x14ac:dyDescent="0.25">
      <c r="B386" s="97">
        <f t="shared" si="44"/>
        <v>25</v>
      </c>
      <c r="C386" s="231">
        <f t="shared" si="48"/>
        <v>228.48697048904447</v>
      </c>
      <c r="D386" s="231">
        <f t="shared" si="43"/>
        <v>7.220188267453806</v>
      </c>
    </row>
    <row r="387" spans="2:13" s="95" customFormat="1" ht="15.95" customHeight="1" x14ac:dyDescent="0.25">
      <c r="B387" s="97">
        <f t="shared" si="44"/>
        <v>26</v>
      </c>
      <c r="C387" s="231">
        <f t="shared" si="48"/>
        <v>235.70715875649827</v>
      </c>
      <c r="D387" s="231">
        <f t="shared" si="43"/>
        <v>7.448346216705346</v>
      </c>
    </row>
    <row r="388" spans="2:13" s="95" customFormat="1" ht="15.95" customHeight="1" x14ac:dyDescent="0.25">
      <c r="B388" s="97">
        <f t="shared" si="44"/>
        <v>27</v>
      </c>
      <c r="C388" s="231">
        <f t="shared" si="48"/>
        <v>243.15550497320362</v>
      </c>
      <c r="D388" s="231">
        <f t="shared" si="43"/>
        <v>7.6837139571532349</v>
      </c>
    </row>
    <row r="389" spans="2:13" s="95" customFormat="1" ht="15.95" customHeight="1" x14ac:dyDescent="0.25">
      <c r="B389" s="97">
        <f t="shared" si="44"/>
        <v>28</v>
      </c>
      <c r="C389" s="231">
        <f t="shared" si="48"/>
        <v>250.83921893035685</v>
      </c>
      <c r="D389" s="231">
        <f t="shared" si="43"/>
        <v>7.9265193181992775</v>
      </c>
    </row>
    <row r="390" spans="2:13" s="95" customFormat="1" ht="15.95" customHeight="1" x14ac:dyDescent="0.25">
      <c r="B390" s="97">
        <f t="shared" si="44"/>
        <v>29</v>
      </c>
      <c r="C390" s="231">
        <f t="shared" si="48"/>
        <v>258.76573824855615</v>
      </c>
      <c r="D390" s="231">
        <f t="shared" si="43"/>
        <v>8.1769973286543749</v>
      </c>
    </row>
    <row r="391" spans="2:13" s="95" customFormat="1" ht="15.95" customHeight="1" x14ac:dyDescent="0.25">
      <c r="B391" s="97">
        <f t="shared" si="44"/>
        <v>30</v>
      </c>
      <c r="C391" s="231">
        <f t="shared" si="48"/>
        <v>266.9427355772105</v>
      </c>
      <c r="D391" s="231">
        <f t="shared" si="43"/>
        <v>8.435390444239852</v>
      </c>
    </row>
    <row r="392" spans="2:13" s="95" customFormat="1" ht="15.95" customHeight="1" x14ac:dyDescent="0.25">
      <c r="B392" s="97">
        <f t="shared" si="44"/>
        <v>31</v>
      </c>
      <c r="C392" s="231">
        <f t="shared" ref="C392:C397" si="49">C391+D391</f>
        <v>275.37812602145033</v>
      </c>
      <c r="D392" s="231">
        <f t="shared" si="43"/>
        <v>8.7019487822778316</v>
      </c>
    </row>
    <row r="393" spans="2:13" s="95" customFormat="1" ht="15.95" customHeight="1" x14ac:dyDescent="0.25">
      <c r="B393" s="97">
        <f t="shared" si="44"/>
        <v>32</v>
      </c>
      <c r="C393" s="231">
        <f t="shared" si="49"/>
        <v>284.08007480372817</v>
      </c>
      <c r="D393" s="231">
        <f t="shared" si="43"/>
        <v>8.9769303637978108</v>
      </c>
    </row>
    <row r="394" spans="2:13" s="95" customFormat="1" ht="15.95" customHeight="1" x14ac:dyDescent="0.25">
      <c r="B394" s="97">
        <f t="shared" si="44"/>
        <v>33</v>
      </c>
      <c r="C394" s="231">
        <f t="shared" si="49"/>
        <v>293.05700516752597</v>
      </c>
      <c r="D394" s="231">
        <f t="shared" si="43"/>
        <v>9.2606013632938211</v>
      </c>
    </row>
    <row r="395" spans="2:13" s="95" customFormat="1" ht="15.95" customHeight="1" x14ac:dyDescent="0.25">
      <c r="B395" s="97">
        <f t="shared" si="44"/>
        <v>34</v>
      </c>
      <c r="C395" s="231">
        <f t="shared" si="49"/>
        <v>302.31760653081977</v>
      </c>
      <c r="D395" s="231">
        <f t="shared" si="43"/>
        <v>9.5532363663739055</v>
      </c>
    </row>
    <row r="396" spans="2:13" s="95" customFormat="1" ht="15.95" customHeight="1" x14ac:dyDescent="0.25">
      <c r="B396" s="97">
        <f t="shared" si="44"/>
        <v>35</v>
      </c>
      <c r="C396" s="231">
        <f t="shared" si="49"/>
        <v>311.87084289719365</v>
      </c>
      <c r="D396" s="231">
        <f t="shared" si="43"/>
        <v>9.8551186355513209</v>
      </c>
    </row>
    <row r="397" spans="2:13" s="95" customFormat="1" ht="15.95" customHeight="1" x14ac:dyDescent="0.25">
      <c r="B397" s="97">
        <f t="shared" si="44"/>
        <v>36</v>
      </c>
      <c r="C397" s="231">
        <f t="shared" si="49"/>
        <v>321.72596153274498</v>
      </c>
      <c r="D397" s="231">
        <f t="shared" si="43"/>
        <v>10.166540384434743</v>
      </c>
    </row>
    <row r="398" spans="2:13" s="95" customFormat="1" ht="15.95" customHeight="1" x14ac:dyDescent="0.25">
      <c r="B398" s="610" t="s">
        <v>299</v>
      </c>
      <c r="C398" s="611"/>
      <c r="D398" s="285">
        <f ca="1">SUM(D347:INDIRECT(ADDRESS(ROW($D$398)-1,4)))</f>
        <v>223.60223199999956</v>
      </c>
    </row>
    <row r="399" spans="2:13" s="38" customFormat="1" ht="15.95" customHeight="1" thickBot="1" x14ac:dyDescent="0.3">
      <c r="B399" s="607" t="str">
        <f ca="1">IF(OR(($D$398-$C$407)&gt;0.01,($D$398-$C$407)&lt;-0.01,),"FALTA ATUALIZAR A TABELA 07","")</f>
        <v/>
      </c>
      <c r="C399" s="608"/>
      <c r="D399" s="609"/>
      <c r="E399" s="43"/>
      <c r="F399" s="43"/>
      <c r="G399" s="43"/>
      <c r="H399" s="43"/>
      <c r="I399" s="43"/>
      <c r="J399" s="43"/>
      <c r="K399" s="43"/>
      <c r="L399" s="43"/>
      <c r="M399" s="43"/>
    </row>
    <row r="400" spans="2:13" s="38" customFormat="1" ht="24.95" customHeight="1" x14ac:dyDescent="0.25">
      <c r="B400" s="215" t="s">
        <v>138</v>
      </c>
      <c r="C400" s="190"/>
      <c r="D400" s="216"/>
      <c r="E400" s="216"/>
      <c r="F400" s="217"/>
      <c r="G400" s="405"/>
      <c r="H400" s="221"/>
      <c r="I400" s="131"/>
      <c r="J400" s="221"/>
      <c r="K400" s="40"/>
      <c r="L400" s="40"/>
    </row>
    <row r="401" spans="1:12" s="38" customFormat="1" ht="15.95" customHeight="1" x14ac:dyDescent="0.25">
      <c r="B401" s="219" t="s">
        <v>598</v>
      </c>
      <c r="C401" s="40"/>
      <c r="D401" s="220"/>
      <c r="E401" s="220"/>
      <c r="F401" s="221"/>
      <c r="G401" s="405"/>
      <c r="H401" s="221"/>
      <c r="I401" s="131"/>
      <c r="J401" s="221"/>
      <c r="K401" s="40"/>
      <c r="L401" s="40"/>
    </row>
    <row r="402" spans="1:12" s="38" customFormat="1" ht="15.95" customHeight="1" x14ac:dyDescent="0.25">
      <c r="B402" s="192" t="s">
        <v>729</v>
      </c>
      <c r="C402" s="40"/>
      <c r="D402" s="222"/>
      <c r="E402" s="222"/>
      <c r="F402" s="40"/>
      <c r="G402" s="194"/>
      <c r="H402" s="40"/>
      <c r="I402" s="40"/>
      <c r="J402" s="40"/>
      <c r="K402" s="40"/>
      <c r="L402" s="40"/>
    </row>
    <row r="403" spans="1:12" s="38" customFormat="1" ht="15.95" customHeight="1" x14ac:dyDescent="0.25">
      <c r="B403" s="192" t="s">
        <v>479</v>
      </c>
      <c r="C403" s="40"/>
      <c r="D403" s="222"/>
      <c r="E403" s="222"/>
      <c r="F403" s="40"/>
      <c r="G403" s="194"/>
      <c r="H403" s="40"/>
      <c r="I403" s="40"/>
      <c r="J403" s="40"/>
      <c r="K403" s="40"/>
      <c r="L403" s="40"/>
    </row>
    <row r="404" spans="1:12" s="38" customFormat="1" ht="15.95" customHeight="1" x14ac:dyDescent="0.25">
      <c r="B404" s="58"/>
      <c r="C404" s="40"/>
      <c r="D404" s="259"/>
      <c r="E404" s="259"/>
      <c r="F404" s="259"/>
      <c r="G404" s="58"/>
      <c r="H404" s="40"/>
      <c r="I404" s="40"/>
      <c r="J404" s="40"/>
      <c r="K404" s="40"/>
      <c r="L404" s="40"/>
    </row>
    <row r="405" spans="1:12" s="38" customFormat="1" ht="24.95" customHeight="1" x14ac:dyDescent="0.25">
      <c r="B405" s="392" t="s">
        <v>131</v>
      </c>
      <c r="C405" s="40"/>
      <c r="D405" s="61"/>
      <c r="E405" s="61"/>
      <c r="F405" s="61"/>
      <c r="G405" s="192"/>
      <c r="H405" s="40"/>
      <c r="I405" s="40"/>
      <c r="J405" s="40"/>
      <c r="K405" s="40"/>
      <c r="L405" s="40"/>
    </row>
    <row r="406" spans="1:12" s="38" customFormat="1" ht="20.100000000000001" customHeight="1" x14ac:dyDescent="0.25">
      <c r="B406" s="224" t="s">
        <v>19</v>
      </c>
      <c r="C406" s="225" t="s">
        <v>38</v>
      </c>
      <c r="D406" s="40"/>
      <c r="F406" s="61"/>
      <c r="G406" s="194"/>
      <c r="H406" s="40"/>
      <c r="I406" s="40"/>
      <c r="J406" s="40"/>
      <c r="K406" s="40"/>
      <c r="L406" s="40"/>
    </row>
    <row r="407" spans="1:12" s="38" customFormat="1" ht="15.95" customHeight="1" thickBot="1" x14ac:dyDescent="0.3">
      <c r="B407" s="87">
        <f>$C$353</f>
        <v>36</v>
      </c>
      <c r="C407" s="286">
        <f>VLOOKUP($B$407,Tabela_06,4,0)</f>
        <v>223.60223200000004</v>
      </c>
      <c r="D407" s="287"/>
      <c r="E407" s="196"/>
      <c r="F407" s="229"/>
      <c r="G407" s="406"/>
      <c r="H407" s="40"/>
      <c r="I407" s="47"/>
      <c r="J407" s="40"/>
      <c r="K407" s="47"/>
      <c r="L407" s="40"/>
    </row>
    <row r="408" spans="1:12" s="38" customFormat="1" ht="15.95" customHeight="1" x14ac:dyDescent="0.25">
      <c r="C408" s="212"/>
      <c r="D408" s="212"/>
      <c r="E408" s="212"/>
      <c r="F408" s="212"/>
    </row>
    <row r="409" spans="1:12" s="274" customFormat="1" ht="24.95" customHeight="1" x14ac:dyDescent="0.25">
      <c r="B409" s="385" t="s">
        <v>474</v>
      </c>
    </row>
    <row r="410" spans="1:12" s="43" customFormat="1" ht="15.95" customHeight="1" x14ac:dyDescent="0.25">
      <c r="A410" s="83"/>
      <c r="B410" s="402" t="s">
        <v>471</v>
      </c>
    </row>
    <row r="411" spans="1:12" s="38" customFormat="1" ht="20.100000000000001" customHeight="1" x14ac:dyDescent="0.25">
      <c r="C411" s="617" t="s">
        <v>472</v>
      </c>
      <c r="D411" s="618"/>
      <c r="G411"/>
      <c r="H411"/>
      <c r="I411"/>
      <c r="J411"/>
      <c r="K411"/>
    </row>
    <row r="412" spans="1:12" s="38" customFormat="1" ht="15.95" customHeight="1" x14ac:dyDescent="0.25">
      <c r="B412" s="136"/>
      <c r="C412" s="283">
        <v>25</v>
      </c>
      <c r="D412" s="283">
        <v>36</v>
      </c>
      <c r="G412" s="43"/>
      <c r="H412" s="43"/>
      <c r="I412" s="43"/>
      <c r="J412" s="43"/>
      <c r="K412" s="43"/>
    </row>
    <row r="413" spans="1:12" s="43" customFormat="1" ht="15.95" customHeight="1" x14ac:dyDescent="0.25">
      <c r="C413" s="615" t="str">
        <f>IF(OR($D$412&gt;$C$353,$C$412&gt;=$D$412,$D$412&lt;12,($D$412-$C$412)&lt;&gt;11),"PERÍODO INCORRETO","")</f>
        <v/>
      </c>
      <c r="D413" s="616"/>
    </row>
    <row r="414" spans="1:12" s="274" customFormat="1" ht="24.95" customHeight="1" x14ac:dyDescent="0.25">
      <c r="B414" s="384" t="s">
        <v>475</v>
      </c>
    </row>
    <row r="415" spans="1:12" s="43" customFormat="1" ht="15.95" customHeight="1" x14ac:dyDescent="0.25">
      <c r="B415" s="43" t="s">
        <v>692</v>
      </c>
    </row>
    <row r="416" spans="1:12" s="43" customFormat="1" ht="15.95" customHeight="1" x14ac:dyDescent="0.25">
      <c r="B416" s="43" t="s">
        <v>501</v>
      </c>
    </row>
    <row r="417" spans="2:12" s="43" customFormat="1" ht="15.95" customHeight="1" x14ac:dyDescent="0.25">
      <c r="B417" s="43" t="s">
        <v>577</v>
      </c>
    </row>
    <row r="418" spans="2:12" s="43" customFormat="1" ht="15.95" customHeight="1" x14ac:dyDescent="0.25"/>
    <row r="419" spans="2:12" s="43" customFormat="1" ht="24.95" customHeight="1" x14ac:dyDescent="0.25">
      <c r="B419" s="390" t="s">
        <v>578</v>
      </c>
      <c r="F419" s="390" t="s">
        <v>579</v>
      </c>
      <c r="J419" s="390" t="s">
        <v>580</v>
      </c>
    </row>
    <row r="420" spans="2:12" ht="20.100000000000001" customHeight="1" x14ac:dyDescent="0.25">
      <c r="B420" s="594" t="str">
        <f>CONCATENATE("Prestação ",$C$353," - meses ",$C$412," a ",$D$412)</f>
        <v>Prestação 36 - meses 25 a 36</v>
      </c>
      <c r="C420" s="606"/>
      <c r="D420" s="606"/>
      <c r="F420" s="594" t="str">
        <f>CONCATENATE("Prestação ",$C$353," - meses ",$C$412," a ",$D$412)</f>
        <v>Prestação 36 - meses 25 a 36</v>
      </c>
      <c r="G420" s="606"/>
      <c r="H420" s="606"/>
      <c r="J420" s="594" t="str">
        <f>CONCATENATE("Prestação ",$C$353," - meses ",$C$412," a ",$D$412)</f>
        <v>Prestação 36 - meses 25 a 36</v>
      </c>
      <c r="K420" s="606"/>
      <c r="L420" s="606"/>
    </row>
    <row r="421" spans="2:12" ht="20.100000000000001" customHeight="1" x14ac:dyDescent="0.25">
      <c r="B421" s="89" t="s">
        <v>64</v>
      </c>
      <c r="C421" s="8" t="s">
        <v>24</v>
      </c>
      <c r="D421" s="88" t="s">
        <v>65</v>
      </c>
      <c r="F421" s="89" t="s">
        <v>64</v>
      </c>
      <c r="G421" s="8" t="s">
        <v>24</v>
      </c>
      <c r="H421" s="88" t="s">
        <v>65</v>
      </c>
      <c r="J421" s="89" t="s">
        <v>64</v>
      </c>
      <c r="K421" s="8" t="s">
        <v>570</v>
      </c>
      <c r="L421" s="88" t="s">
        <v>65</v>
      </c>
    </row>
    <row r="422" spans="2:12" s="43" customFormat="1" ht="15.95" customHeight="1" x14ac:dyDescent="0.25">
      <c r="B422" s="9">
        <f>$C$412</f>
        <v>25</v>
      </c>
      <c r="C422" s="141">
        <f>VLOOKUP($C$412,Tabela_07_prestação,2,0)</f>
        <v>228.48697048904447</v>
      </c>
      <c r="D422" s="141">
        <f t="shared" ref="D422:D433" si="50">$F$97*$C422</f>
        <v>7.220188267453806</v>
      </c>
      <c r="F422" s="9">
        <f>$C$412</f>
        <v>25</v>
      </c>
      <c r="G422" s="141">
        <f>VLOOKUP($C$412,Tabela_07_prestação,2,0)</f>
        <v>228.48697048904447</v>
      </c>
      <c r="H422" s="141">
        <f t="shared" ref="H422:H433" si="51">$F$97*$G422</f>
        <v>7.220188267453806</v>
      </c>
      <c r="J422" s="9">
        <f>$C$412</f>
        <v>25</v>
      </c>
      <c r="K422" s="141">
        <v>0</v>
      </c>
      <c r="L422" s="141">
        <f t="shared" ref="L422:L433" si="52">$F$97*$K422</f>
        <v>0</v>
      </c>
    </row>
    <row r="423" spans="2:12" s="43" customFormat="1" ht="15.95" customHeight="1" x14ac:dyDescent="0.25">
      <c r="B423" s="9">
        <f>B422+1</f>
        <v>26</v>
      </c>
      <c r="C423" s="141">
        <f>C422+D422</f>
        <v>235.70715875649827</v>
      </c>
      <c r="D423" s="141">
        <f t="shared" si="50"/>
        <v>7.448346216705346</v>
      </c>
      <c r="F423" s="9">
        <f>F422+1</f>
        <v>26</v>
      </c>
      <c r="G423" s="141">
        <f>G422</f>
        <v>228.48697048904447</v>
      </c>
      <c r="H423" s="141">
        <f t="shared" si="51"/>
        <v>7.220188267453806</v>
      </c>
      <c r="J423" s="9">
        <f>J422+1</f>
        <v>26</v>
      </c>
      <c r="K423" s="141">
        <f>K422+H422+L422</f>
        <v>7.220188267453806</v>
      </c>
      <c r="L423" s="141">
        <f t="shared" si="52"/>
        <v>0.22815794925154029</v>
      </c>
    </row>
    <row r="424" spans="2:12" s="43" customFormat="1" ht="15.95" customHeight="1" x14ac:dyDescent="0.25">
      <c r="B424" s="9">
        <f t="shared" ref="B424:B433" si="53">B423+1</f>
        <v>27</v>
      </c>
      <c r="C424" s="141">
        <f t="shared" ref="C424:C433" si="54">C423+D423</f>
        <v>243.15550497320362</v>
      </c>
      <c r="D424" s="141">
        <f t="shared" si="50"/>
        <v>7.6837139571532349</v>
      </c>
      <c r="F424" s="9">
        <f t="shared" ref="F424:F433" si="55">F423+1</f>
        <v>27</v>
      </c>
      <c r="G424" s="141">
        <f t="shared" ref="G424:G433" si="56">G423</f>
        <v>228.48697048904447</v>
      </c>
      <c r="H424" s="141">
        <f t="shared" si="51"/>
        <v>7.220188267453806</v>
      </c>
      <c r="J424" s="9">
        <f t="shared" ref="J424:J432" si="57">J423+1</f>
        <v>27</v>
      </c>
      <c r="K424" s="141">
        <f t="shared" ref="K424:K433" si="58">K423+H423+L423</f>
        <v>14.668534484159153</v>
      </c>
      <c r="L424" s="141">
        <f t="shared" si="52"/>
        <v>0.46352568969942926</v>
      </c>
    </row>
    <row r="425" spans="2:12" s="43" customFormat="1" ht="15.95" customHeight="1" x14ac:dyDescent="0.25">
      <c r="B425" s="9">
        <f t="shared" si="53"/>
        <v>28</v>
      </c>
      <c r="C425" s="141">
        <f t="shared" si="54"/>
        <v>250.83921893035685</v>
      </c>
      <c r="D425" s="141">
        <f t="shared" si="50"/>
        <v>7.9265193181992775</v>
      </c>
      <c r="F425" s="9">
        <f t="shared" si="55"/>
        <v>28</v>
      </c>
      <c r="G425" s="141">
        <f t="shared" si="56"/>
        <v>228.48697048904447</v>
      </c>
      <c r="H425" s="141">
        <f t="shared" si="51"/>
        <v>7.220188267453806</v>
      </c>
      <c r="J425" s="9">
        <f t="shared" si="57"/>
        <v>28</v>
      </c>
      <c r="K425" s="141">
        <f t="shared" si="58"/>
        <v>22.352248441312391</v>
      </c>
      <c r="L425" s="141">
        <f t="shared" si="52"/>
        <v>0.70633105074547164</v>
      </c>
    </row>
    <row r="426" spans="2:12" s="43" customFormat="1" ht="15.95" customHeight="1" x14ac:dyDescent="0.25">
      <c r="B426" s="9">
        <f t="shared" si="53"/>
        <v>29</v>
      </c>
      <c r="C426" s="141">
        <f t="shared" si="54"/>
        <v>258.76573824855615</v>
      </c>
      <c r="D426" s="141">
        <f t="shared" si="50"/>
        <v>8.1769973286543749</v>
      </c>
      <c r="F426" s="9">
        <f t="shared" si="55"/>
        <v>29</v>
      </c>
      <c r="G426" s="141">
        <f t="shared" si="56"/>
        <v>228.48697048904447</v>
      </c>
      <c r="H426" s="141">
        <f t="shared" si="51"/>
        <v>7.220188267453806</v>
      </c>
      <c r="J426" s="9">
        <f t="shared" si="57"/>
        <v>29</v>
      </c>
      <c r="K426" s="141">
        <f t="shared" si="58"/>
        <v>30.27876775951167</v>
      </c>
      <c r="L426" s="141">
        <f t="shared" si="52"/>
        <v>0.95680906120056886</v>
      </c>
    </row>
    <row r="427" spans="2:12" s="43" customFormat="1" ht="15.95" customHeight="1" x14ac:dyDescent="0.25">
      <c r="B427" s="9">
        <f t="shared" si="53"/>
        <v>30</v>
      </c>
      <c r="C427" s="141">
        <f t="shared" si="54"/>
        <v>266.9427355772105</v>
      </c>
      <c r="D427" s="141">
        <f t="shared" si="50"/>
        <v>8.435390444239852</v>
      </c>
      <c r="F427" s="9">
        <f t="shared" si="55"/>
        <v>30</v>
      </c>
      <c r="G427" s="141">
        <f t="shared" si="56"/>
        <v>228.48697048904447</v>
      </c>
      <c r="H427" s="141">
        <f t="shared" si="51"/>
        <v>7.220188267453806</v>
      </c>
      <c r="J427" s="9">
        <f t="shared" si="57"/>
        <v>30</v>
      </c>
      <c r="K427" s="141">
        <f t="shared" si="58"/>
        <v>38.455765088166039</v>
      </c>
      <c r="L427" s="141">
        <f t="shared" si="52"/>
        <v>1.215202176786047</v>
      </c>
    </row>
    <row r="428" spans="2:12" s="43" customFormat="1" ht="15.95" customHeight="1" x14ac:dyDescent="0.25">
      <c r="B428" s="9">
        <f t="shared" si="53"/>
        <v>31</v>
      </c>
      <c r="C428" s="141">
        <f t="shared" si="54"/>
        <v>275.37812602145033</v>
      </c>
      <c r="D428" s="141">
        <f t="shared" si="50"/>
        <v>8.7019487822778316</v>
      </c>
      <c r="F428" s="9">
        <f t="shared" si="55"/>
        <v>31</v>
      </c>
      <c r="G428" s="141">
        <f t="shared" si="56"/>
        <v>228.48697048904447</v>
      </c>
      <c r="H428" s="141">
        <f t="shared" si="51"/>
        <v>7.220188267453806</v>
      </c>
      <c r="J428" s="9">
        <f t="shared" si="57"/>
        <v>31</v>
      </c>
      <c r="K428" s="141">
        <f t="shared" si="58"/>
        <v>46.891155532405897</v>
      </c>
      <c r="L428" s="141">
        <f t="shared" si="52"/>
        <v>1.4817605148240265</v>
      </c>
    </row>
    <row r="429" spans="2:12" s="43" customFormat="1" ht="15.95" customHeight="1" x14ac:dyDescent="0.25">
      <c r="B429" s="9">
        <f t="shared" si="53"/>
        <v>32</v>
      </c>
      <c r="C429" s="141">
        <f t="shared" si="54"/>
        <v>284.08007480372817</v>
      </c>
      <c r="D429" s="141">
        <f t="shared" si="50"/>
        <v>8.9769303637978108</v>
      </c>
      <c r="F429" s="9">
        <f t="shared" si="55"/>
        <v>32</v>
      </c>
      <c r="G429" s="141">
        <f t="shared" si="56"/>
        <v>228.48697048904447</v>
      </c>
      <c r="H429" s="141">
        <f t="shared" si="51"/>
        <v>7.220188267453806</v>
      </c>
      <c r="J429" s="9">
        <f t="shared" si="57"/>
        <v>32</v>
      </c>
      <c r="K429" s="141">
        <f t="shared" si="58"/>
        <v>55.593104314683728</v>
      </c>
      <c r="L429" s="141">
        <f t="shared" si="52"/>
        <v>1.7567420963440059</v>
      </c>
    </row>
    <row r="430" spans="2:12" s="43" customFormat="1" ht="15.95" customHeight="1" x14ac:dyDescent="0.25">
      <c r="B430" s="9">
        <f t="shared" si="53"/>
        <v>33</v>
      </c>
      <c r="C430" s="141">
        <f t="shared" si="54"/>
        <v>293.05700516752597</v>
      </c>
      <c r="D430" s="141">
        <f t="shared" si="50"/>
        <v>9.2606013632938211</v>
      </c>
      <c r="F430" s="9">
        <f t="shared" si="55"/>
        <v>33</v>
      </c>
      <c r="G430" s="141">
        <f t="shared" si="56"/>
        <v>228.48697048904447</v>
      </c>
      <c r="H430" s="141">
        <f t="shared" si="51"/>
        <v>7.220188267453806</v>
      </c>
      <c r="J430" s="9">
        <f t="shared" si="57"/>
        <v>33</v>
      </c>
      <c r="K430" s="141">
        <f t="shared" si="58"/>
        <v>64.570034678481548</v>
      </c>
      <c r="L430" s="141">
        <f t="shared" si="52"/>
        <v>2.0404130958400173</v>
      </c>
    </row>
    <row r="431" spans="2:12" s="43" customFormat="1" ht="15.95" customHeight="1" x14ac:dyDescent="0.25">
      <c r="B431" s="9">
        <f t="shared" si="53"/>
        <v>34</v>
      </c>
      <c r="C431" s="141">
        <f t="shared" si="54"/>
        <v>302.31760653081977</v>
      </c>
      <c r="D431" s="141">
        <f t="shared" si="50"/>
        <v>9.5532363663739055</v>
      </c>
      <c r="F431" s="9">
        <f t="shared" si="55"/>
        <v>34</v>
      </c>
      <c r="G431" s="141">
        <f t="shared" si="56"/>
        <v>228.48697048904447</v>
      </c>
      <c r="H431" s="141">
        <f t="shared" si="51"/>
        <v>7.220188267453806</v>
      </c>
      <c r="J431" s="9">
        <f t="shared" si="57"/>
        <v>34</v>
      </c>
      <c r="K431" s="141">
        <f t="shared" si="58"/>
        <v>73.830636041775378</v>
      </c>
      <c r="L431" s="141">
        <f t="shared" si="52"/>
        <v>2.3330480989201021</v>
      </c>
    </row>
    <row r="432" spans="2:12" s="43" customFormat="1" ht="15.95" customHeight="1" x14ac:dyDescent="0.25">
      <c r="B432" s="9">
        <f t="shared" si="53"/>
        <v>35</v>
      </c>
      <c r="C432" s="141">
        <f t="shared" si="54"/>
        <v>311.87084289719365</v>
      </c>
      <c r="D432" s="141">
        <f t="shared" si="50"/>
        <v>9.8551186355513209</v>
      </c>
      <c r="F432" s="9">
        <f t="shared" si="55"/>
        <v>35</v>
      </c>
      <c r="G432" s="141">
        <f t="shared" si="56"/>
        <v>228.48697048904447</v>
      </c>
      <c r="H432" s="141">
        <f t="shared" si="51"/>
        <v>7.220188267453806</v>
      </c>
      <c r="J432" s="9">
        <f t="shared" si="57"/>
        <v>35</v>
      </c>
      <c r="K432" s="141">
        <f t="shared" si="58"/>
        <v>83.383872408149287</v>
      </c>
      <c r="L432" s="141">
        <f t="shared" si="52"/>
        <v>2.6349303680975176</v>
      </c>
    </row>
    <row r="433" spans="2:20" s="43" customFormat="1" ht="15.95" customHeight="1" x14ac:dyDescent="0.25">
      <c r="B433" s="9">
        <f t="shared" si="53"/>
        <v>36</v>
      </c>
      <c r="C433" s="141">
        <f t="shared" si="54"/>
        <v>321.72596153274498</v>
      </c>
      <c r="D433" s="141">
        <f t="shared" si="50"/>
        <v>10.166540384434743</v>
      </c>
      <c r="F433" s="9">
        <f t="shared" si="55"/>
        <v>36</v>
      </c>
      <c r="G433" s="141">
        <f t="shared" si="56"/>
        <v>228.48697048904447</v>
      </c>
      <c r="H433" s="141">
        <f t="shared" si="51"/>
        <v>7.220188267453806</v>
      </c>
      <c r="J433" s="9">
        <f>J432+1</f>
        <v>36</v>
      </c>
      <c r="K433" s="141">
        <f t="shared" si="58"/>
        <v>93.238991043700608</v>
      </c>
      <c r="L433" s="141">
        <f t="shared" si="52"/>
        <v>2.9463521169809397</v>
      </c>
    </row>
    <row r="434" spans="2:20" s="43" customFormat="1" ht="15.95" customHeight="1" x14ac:dyDescent="0.25">
      <c r="D434" s="266">
        <f>SUM(D422:D433)</f>
        <v>103.40553142813532</v>
      </c>
      <c r="H434" s="266">
        <f>SUM(H422:H433)</f>
        <v>86.642259209445669</v>
      </c>
      <c r="L434" s="266">
        <f>SUM(L422:L433)</f>
        <v>16.763272218689664</v>
      </c>
    </row>
    <row r="435" spans="2:20" s="43" customFormat="1" ht="15.95" customHeight="1" x14ac:dyDescent="0.25"/>
    <row r="436" spans="2:20" s="274" customFormat="1" ht="24.95" customHeight="1" x14ac:dyDescent="0.25">
      <c r="B436" s="384" t="s">
        <v>480</v>
      </c>
    </row>
    <row r="437" spans="2:20" s="43" customFormat="1" ht="15.95" customHeight="1" x14ac:dyDescent="0.25">
      <c r="B437" s="43" t="str">
        <f>CONCATENATE("•  Prestação ",$C$353," - meses ",$C$412," a ",$D$412)</f>
        <v>•  Prestação 36 - meses 25 a 36</v>
      </c>
    </row>
    <row r="438" spans="2:20" s="43" customFormat="1" ht="15.95" customHeight="1" x14ac:dyDescent="0.25">
      <c r="T438" s="265"/>
    </row>
    <row r="439" spans="2:20" s="43" customFormat="1" ht="20.100000000000001" customHeight="1" x14ac:dyDescent="0.25">
      <c r="C439" s="606" t="s">
        <v>95</v>
      </c>
      <c r="D439" s="606"/>
      <c r="E439" s="606"/>
      <c r="G439" s="578" t="s">
        <v>94</v>
      </c>
      <c r="H439" s="612"/>
      <c r="I439" s="579"/>
      <c r="K439" s="606" t="s">
        <v>481</v>
      </c>
      <c r="L439" s="606"/>
      <c r="M439" s="606"/>
      <c r="Q439" s="7"/>
      <c r="R439" s="7"/>
      <c r="S439" s="7"/>
    </row>
    <row r="440" spans="2:20" s="43" customFormat="1" ht="20.100000000000001" customHeight="1" x14ac:dyDescent="0.25">
      <c r="C440" s="260" t="str">
        <f>CONCATENATE("Principal do mês ",$C$412)</f>
        <v>Principal do mês 25</v>
      </c>
      <c r="D440" s="260" t="str">
        <f>CONCATENATE("Juros ",$C$412," a ",$D$412)</f>
        <v>Juros 25 a 36</v>
      </c>
      <c r="E440" s="260" t="s">
        <v>71</v>
      </c>
      <c r="G440" s="260" t="str">
        <f>CONCATENATE("Principal do mês ",$C$412)</f>
        <v>Principal do mês 25</v>
      </c>
      <c r="H440" s="260" t="str">
        <f>CONCATENATE("Juros ",$C$412," a ",$D$412)</f>
        <v>Juros 25 a 36</v>
      </c>
      <c r="I440" s="260" t="s">
        <v>71</v>
      </c>
      <c r="K440" s="260" t="str">
        <f>CONCATENATE("Principal do mês ",$C$412)</f>
        <v>Principal do mês 25</v>
      </c>
      <c r="L440" s="260" t="str">
        <f>CONCATENATE("Juros ",$C$412," a ",$D$412)</f>
        <v>Juros 25 a 36</v>
      </c>
      <c r="M440" s="260" t="s">
        <v>71</v>
      </c>
      <c r="Q440" s="7"/>
      <c r="R440" s="7"/>
      <c r="S440" s="7"/>
    </row>
    <row r="441" spans="2:20" s="43" customFormat="1" ht="15.95" customHeight="1" x14ac:dyDescent="0.25">
      <c r="C441" s="141">
        <f>$C$422</f>
        <v>228.48697048904447</v>
      </c>
      <c r="D441" s="141">
        <f>$D$434</f>
        <v>103.40553142813532</v>
      </c>
      <c r="E441" s="270">
        <f>D441/C441</f>
        <v>0.45256642515242868</v>
      </c>
      <c r="G441" s="141">
        <f>$G$422</f>
        <v>228.48697048904447</v>
      </c>
      <c r="H441" s="141">
        <f>$H$434</f>
        <v>86.642259209445669</v>
      </c>
      <c r="I441" s="270">
        <f>H441/G441</f>
        <v>0.37920000000000004</v>
      </c>
      <c r="K441" s="141">
        <f>$G$422</f>
        <v>228.48697048904447</v>
      </c>
      <c r="L441" s="141">
        <f>$L$434</f>
        <v>16.763272218689664</v>
      </c>
      <c r="M441" s="270">
        <f>L441/K441</f>
        <v>7.3366425152428694E-2</v>
      </c>
      <c r="N441" s="271"/>
      <c r="Q441" s="3"/>
      <c r="R441" s="3"/>
      <c r="S441" s="3"/>
    </row>
    <row r="442" spans="2:20" s="43" customFormat="1" ht="15.95" customHeight="1" x14ac:dyDescent="0.25">
      <c r="C442" s="3"/>
      <c r="D442" s="3"/>
      <c r="E442" s="272"/>
      <c r="G442" s="3"/>
      <c r="H442" s="3"/>
      <c r="J442" s="3"/>
      <c r="K442" s="3"/>
      <c r="L442" s="272"/>
      <c r="M442" s="3"/>
      <c r="N442" s="271"/>
      <c r="Q442" s="3"/>
      <c r="R442" s="3"/>
      <c r="S442" s="3"/>
    </row>
    <row r="443" spans="2:20" s="43" customFormat="1" ht="15.95" customHeight="1" x14ac:dyDescent="0.25">
      <c r="C443" s="277" t="str">
        <f>CONCATENATE("Juros mês ",$C$412)</f>
        <v>Juros mês 25</v>
      </c>
      <c r="D443" s="141">
        <f>$D$422</f>
        <v>7.220188267453806</v>
      </c>
      <c r="E443" s="272"/>
      <c r="G443" s="277" t="str">
        <f>CONCATENATE("Juros mês ",$C$412)</f>
        <v>Juros mês 25</v>
      </c>
      <c r="H443" s="141">
        <f>$H$422</f>
        <v>7.220188267453806</v>
      </c>
      <c r="M443" s="3"/>
      <c r="N443" s="271"/>
      <c r="Q443" s="3"/>
      <c r="R443" s="3"/>
      <c r="S443" s="3"/>
    </row>
    <row r="444" spans="2:20" s="43" customFormat="1" ht="15.95" customHeight="1" x14ac:dyDescent="0.25">
      <c r="C444" s="277" t="str">
        <f>CONCATENATE("Duodécuplo mês ",$C$412)</f>
        <v>Duodécuplo mês 25</v>
      </c>
      <c r="D444" s="141">
        <f>D443*12</f>
        <v>86.642259209445669</v>
      </c>
      <c r="E444" s="272"/>
      <c r="G444" s="277" t="str">
        <f>CONCATENATE("Duodécuplo mês ",$C$412)</f>
        <v>Duodécuplo mês 25</v>
      </c>
      <c r="H444" s="141">
        <f>H443*12</f>
        <v>86.642259209445669</v>
      </c>
      <c r="M444" s="3"/>
      <c r="N444" s="271"/>
      <c r="Q444" s="3"/>
      <c r="R444" s="3"/>
      <c r="S444" s="3"/>
    </row>
    <row r="445" spans="2:20" s="43" customFormat="1" ht="15.95" customHeight="1" x14ac:dyDescent="0.25">
      <c r="C445" s="277" t="s">
        <v>477</v>
      </c>
      <c r="D445" s="141">
        <f>$D$441-$D$444</f>
        <v>16.76327221868965</v>
      </c>
      <c r="E445" s="272"/>
      <c r="G445" s="277" t="s">
        <v>476</v>
      </c>
      <c r="H445" s="141">
        <f>$H$441-$H$444</f>
        <v>0</v>
      </c>
      <c r="M445" s="3"/>
      <c r="N445" s="271"/>
      <c r="Q445" s="3"/>
      <c r="R445" s="3"/>
      <c r="S445" s="3"/>
    </row>
    <row r="446" spans="2:20" s="43" customFormat="1" ht="15.95" customHeight="1" x14ac:dyDescent="0.25">
      <c r="C446" s="3"/>
      <c r="D446" s="3"/>
      <c r="E446" s="272"/>
      <c r="J446" s="3"/>
      <c r="K446" s="3"/>
      <c r="L446" s="272"/>
      <c r="M446" s="3"/>
      <c r="N446" s="271"/>
      <c r="Q446" s="3"/>
      <c r="R446" s="3"/>
      <c r="S446" s="3"/>
    </row>
    <row r="447" spans="2:20" s="43" customFormat="1" ht="15.95" customHeight="1" x14ac:dyDescent="0.25">
      <c r="B447" s="43" t="s">
        <v>502</v>
      </c>
    </row>
    <row r="448" spans="2:20" s="43" customFormat="1" ht="15.95" customHeight="1" x14ac:dyDescent="0.25"/>
    <row r="449" spans="1:3" s="43" customFormat="1" ht="24.95" customHeight="1" x14ac:dyDescent="0.25">
      <c r="A449" s="378" t="s">
        <v>864</v>
      </c>
    </row>
    <row r="450" spans="1:3" s="43" customFormat="1" ht="15.95" customHeight="1" x14ac:dyDescent="0.25">
      <c r="B450" s="43" t="s">
        <v>238</v>
      </c>
    </row>
    <row r="451" spans="1:3" s="43" customFormat="1" ht="15.95" customHeight="1" x14ac:dyDescent="0.25">
      <c r="B451" s="43" t="s">
        <v>347</v>
      </c>
    </row>
    <row r="452" spans="1:3" s="43" customFormat="1" ht="15.95" customHeight="1" x14ac:dyDescent="0.25">
      <c r="B452" s="43" t="s">
        <v>345</v>
      </c>
    </row>
    <row r="453" spans="1:3" s="43" customFormat="1" ht="15.95" customHeight="1" x14ac:dyDescent="0.25">
      <c r="B453" s="43" t="s">
        <v>693</v>
      </c>
    </row>
    <row r="454" spans="1:3" s="43" customFormat="1" ht="15.95" customHeight="1" x14ac:dyDescent="0.25">
      <c r="B454" s="43" t="s">
        <v>379</v>
      </c>
    </row>
    <row r="455" spans="1:3" s="43" customFormat="1" ht="15.95" customHeight="1" x14ac:dyDescent="0.25"/>
    <row r="456" spans="1:3" s="288" customFormat="1" ht="20.100000000000001" customHeight="1" x14ac:dyDescent="0.25">
      <c r="C456" s="146" t="s">
        <v>529</v>
      </c>
    </row>
    <row r="457" spans="1:3" s="288" customFormat="1" ht="20.100000000000001" customHeight="1" x14ac:dyDescent="0.25">
      <c r="C457" s="146" t="s">
        <v>516</v>
      </c>
    </row>
    <row r="458" spans="1:3" s="288" customFormat="1" ht="20.100000000000001" customHeight="1" x14ac:dyDescent="0.25">
      <c r="C458" s="146" t="s">
        <v>482</v>
      </c>
    </row>
    <row r="459" spans="1:3" s="288" customFormat="1" ht="20.100000000000001" customHeight="1" x14ac:dyDescent="0.25">
      <c r="C459" s="146" t="s">
        <v>528</v>
      </c>
    </row>
    <row r="460" spans="1:3" ht="15.95" customHeight="1" x14ac:dyDescent="0.25"/>
    <row r="461" spans="1:3" ht="15.95" customHeight="1" x14ac:dyDescent="0.25">
      <c r="B461" s="476" t="s">
        <v>952</v>
      </c>
    </row>
    <row r="462" spans="1:3" ht="15.95" customHeight="1" x14ac:dyDescent="0.25">
      <c r="B462" t="s">
        <v>953</v>
      </c>
    </row>
    <row r="463" spans="1:3" ht="15.95" customHeight="1" x14ac:dyDescent="0.25">
      <c r="B463" t="s">
        <v>954</v>
      </c>
    </row>
    <row r="464" spans="1:3" ht="15.95" customHeight="1" x14ac:dyDescent="0.25">
      <c r="B464" t="s">
        <v>955</v>
      </c>
    </row>
    <row r="465" spans="2:2" ht="15.95" customHeight="1" x14ac:dyDescent="0.25">
      <c r="B465" t="s">
        <v>956</v>
      </c>
    </row>
    <row r="466" spans="2:2" ht="15.95" customHeight="1" x14ac:dyDescent="0.25">
      <c r="B466" t="s">
        <v>957</v>
      </c>
    </row>
    <row r="467" spans="2:2" ht="15.95" customHeight="1" x14ac:dyDescent="0.25"/>
    <row r="468" spans="2:2" ht="15.95" customHeight="1" x14ac:dyDescent="0.25">
      <c r="B468" s="476" t="s">
        <v>958</v>
      </c>
    </row>
    <row r="469" spans="2:2" ht="15.95" customHeight="1" x14ac:dyDescent="0.25">
      <c r="B469" t="s">
        <v>541</v>
      </c>
    </row>
    <row r="470" spans="2:2" ht="15.95" customHeight="1" x14ac:dyDescent="0.25"/>
    <row r="471" spans="2:2" ht="15.95" customHeight="1" x14ac:dyDescent="0.25">
      <c r="B471" t="s">
        <v>763</v>
      </c>
    </row>
    <row r="472" spans="2:2" ht="15.95" customHeight="1" x14ac:dyDescent="0.25">
      <c r="B472" t="s">
        <v>613</v>
      </c>
    </row>
    <row r="473" spans="2:2" ht="15.95" customHeight="1" x14ac:dyDescent="0.25">
      <c r="B473" t="s">
        <v>748</v>
      </c>
    </row>
    <row r="474" spans="2:2" ht="15.95" customHeight="1" x14ac:dyDescent="0.25">
      <c r="B474" t="s">
        <v>581</v>
      </c>
    </row>
    <row r="475" spans="2:2" ht="15.95" customHeight="1" x14ac:dyDescent="0.25">
      <c r="B475" t="s">
        <v>749</v>
      </c>
    </row>
    <row r="476" spans="2:2" ht="15.95" customHeight="1" x14ac:dyDescent="0.25">
      <c r="B476" t="s">
        <v>582</v>
      </c>
    </row>
    <row r="477" spans="2:2" ht="15.95" customHeight="1" x14ac:dyDescent="0.25">
      <c r="B477" t="s">
        <v>750</v>
      </c>
    </row>
    <row r="478" spans="2:2" ht="15.95" customHeight="1" x14ac:dyDescent="0.25"/>
    <row r="479" spans="2:2" s="12" customFormat="1" ht="15.95" customHeight="1" x14ac:dyDescent="0.25">
      <c r="B479" s="342" t="s">
        <v>751</v>
      </c>
    </row>
    <row r="480" spans="2:2" s="12" customFormat="1" ht="15.95" customHeight="1" x14ac:dyDescent="0.25">
      <c r="B480" s="12" t="s">
        <v>761</v>
      </c>
    </row>
    <row r="481" spans="2:7" ht="15.95" customHeight="1" x14ac:dyDescent="0.25"/>
    <row r="482" spans="2:7" ht="15.95" customHeight="1" x14ac:dyDescent="0.25">
      <c r="B482" t="s">
        <v>762</v>
      </c>
    </row>
    <row r="483" spans="2:7" ht="15.95" customHeight="1" x14ac:dyDescent="0.25"/>
    <row r="484" spans="2:7" ht="20.100000000000001" customHeight="1" x14ac:dyDescent="0.25">
      <c r="C484" s="613" t="s">
        <v>19</v>
      </c>
      <c r="D484" s="578" t="s">
        <v>47</v>
      </c>
      <c r="E484" s="579"/>
      <c r="F484" s="578" t="s">
        <v>48</v>
      </c>
      <c r="G484" s="579"/>
    </row>
    <row r="485" spans="2:7" ht="20.100000000000001" customHeight="1" x14ac:dyDescent="0.25">
      <c r="C485" s="614"/>
      <c r="D485" s="92" t="s">
        <v>24</v>
      </c>
      <c r="E485" s="92" t="s">
        <v>161</v>
      </c>
      <c r="F485" s="92" t="s">
        <v>24</v>
      </c>
      <c r="G485" s="92" t="s">
        <v>161</v>
      </c>
    </row>
    <row r="486" spans="2:7" ht="15.95" customHeight="1" x14ac:dyDescent="0.25">
      <c r="C486" s="172">
        <f>'Os juros sobre juros'!$B$214</f>
        <v>2</v>
      </c>
      <c r="D486" s="10">
        <f>'Os juros sobre juros'!$G$214</f>
        <v>311.87084289719411</v>
      </c>
      <c r="E486" s="10">
        <f>'Os juros sobre juros'!$H$214</f>
        <v>9.8551186355513352</v>
      </c>
      <c r="F486" s="10">
        <f>'Os juros sobre juros'!$I$214</f>
        <v>321.72596153274543</v>
      </c>
      <c r="G486" s="10">
        <f>'Os juros sobre juros'!$J$214</f>
        <v>10.166540384434757</v>
      </c>
    </row>
    <row r="487" spans="2:7" ht="15.95" customHeight="1" x14ac:dyDescent="0.25"/>
    <row r="488" spans="2:7" ht="15.95" customHeight="1" x14ac:dyDescent="0.25">
      <c r="B488" t="s">
        <v>752</v>
      </c>
    </row>
    <row r="489" spans="2:7" ht="15.95" customHeight="1" x14ac:dyDescent="0.25"/>
    <row r="490" spans="2:7" ht="15.95" customHeight="1" x14ac:dyDescent="0.25">
      <c r="C490" s="10">
        <f>$G$486</f>
        <v>10.166540384434757</v>
      </c>
      <c r="E490" s="10">
        <f>$E$486</f>
        <v>9.8551186355513352</v>
      </c>
      <c r="G490" s="456">
        <v>0.31140000000000001</v>
      </c>
    </row>
    <row r="491" spans="2:7" ht="15.95" customHeight="1" x14ac:dyDescent="0.25">
      <c r="C491" s="117" t="s">
        <v>505</v>
      </c>
      <c r="E491" s="117" t="s">
        <v>135</v>
      </c>
      <c r="G491" s="393"/>
    </row>
    <row r="492" spans="2:7" ht="15.95" customHeight="1" x14ac:dyDescent="0.25"/>
    <row r="493" spans="2:7" ht="15.95" customHeight="1" x14ac:dyDescent="0.25">
      <c r="B493" t="s">
        <v>760</v>
      </c>
    </row>
    <row r="494" spans="2:7" ht="15.95" customHeight="1" x14ac:dyDescent="0.25"/>
    <row r="495" spans="2:7" ht="15.95" customHeight="1" x14ac:dyDescent="0.25">
      <c r="C495" s="10">
        <f>$D$486</f>
        <v>311.87084289719411</v>
      </c>
      <c r="E495" s="10">
        <f>$E$486</f>
        <v>9.8551186355513352</v>
      </c>
      <c r="G495" s="10">
        <f>$F$486</f>
        <v>321.72596153274543</v>
      </c>
    </row>
    <row r="496" spans="2:7" ht="15.95" customHeight="1" x14ac:dyDescent="0.25">
      <c r="C496" s="117" t="s">
        <v>754</v>
      </c>
      <c r="E496" s="117" t="s">
        <v>755</v>
      </c>
      <c r="G496" s="117" t="s">
        <v>753</v>
      </c>
    </row>
    <row r="497" spans="2:9" ht="15.95" customHeight="1" thickBot="1" x14ac:dyDescent="0.3"/>
    <row r="498" spans="2:9" ht="15.95" customHeight="1" thickTop="1" x14ac:dyDescent="0.25">
      <c r="B498" s="438"/>
      <c r="C498" s="439"/>
      <c r="D498" s="439"/>
      <c r="E498" s="439"/>
      <c r="F498" s="439"/>
      <c r="G498" s="439"/>
      <c r="H498" s="439"/>
      <c r="I498" s="440"/>
    </row>
    <row r="499" spans="2:9" ht="15.95" customHeight="1" x14ac:dyDescent="0.25">
      <c r="B499" s="448" t="s">
        <v>759</v>
      </c>
      <c r="C499" s="2"/>
      <c r="D499" s="2"/>
      <c r="E499" s="2"/>
      <c r="F499" s="2"/>
      <c r="G499" s="2"/>
      <c r="H499" s="2"/>
      <c r="I499" s="442"/>
    </row>
    <row r="500" spans="2:9" ht="15.95" customHeight="1" x14ac:dyDescent="0.25">
      <c r="B500" s="441"/>
      <c r="C500" s="2"/>
      <c r="D500" s="2"/>
      <c r="E500" s="2"/>
      <c r="F500" s="2"/>
      <c r="G500" s="2"/>
      <c r="H500" s="2"/>
      <c r="I500" s="442"/>
    </row>
    <row r="501" spans="2:9" ht="20.100000000000001" customHeight="1" x14ac:dyDescent="0.25">
      <c r="B501" s="441"/>
      <c r="C501" s="7" t="s">
        <v>753</v>
      </c>
      <c r="D501" s="2"/>
      <c r="E501" s="7" t="s">
        <v>591</v>
      </c>
      <c r="F501" s="2"/>
      <c r="G501" s="7" t="s">
        <v>505</v>
      </c>
      <c r="H501" s="2"/>
      <c r="I501" s="442"/>
    </row>
    <row r="502" spans="2:9" ht="15.95" customHeight="1" x14ac:dyDescent="0.25">
      <c r="B502" s="441"/>
      <c r="C502" s="141">
        <f>$D$486</f>
        <v>311.87084289719411</v>
      </c>
      <c r="D502" s="2"/>
      <c r="E502" s="434">
        <f>'Os juros sobre juros'!$E$32</f>
        <v>3.1600000000000003E-2</v>
      </c>
      <c r="F502" s="2"/>
      <c r="G502" s="141">
        <f>$E$486</f>
        <v>9.8551186355513352</v>
      </c>
      <c r="H502" s="443" t="s">
        <v>756</v>
      </c>
      <c r="I502" s="442"/>
    </row>
    <row r="503" spans="2:9" ht="15.95" customHeight="1" x14ac:dyDescent="0.25">
      <c r="B503" s="441"/>
      <c r="C503" s="2"/>
      <c r="D503" s="2"/>
      <c r="E503" s="2"/>
      <c r="F503" s="2"/>
      <c r="G503" s="2"/>
      <c r="H503" s="2"/>
      <c r="I503" s="442"/>
    </row>
    <row r="504" spans="2:9" ht="15.95" customHeight="1" x14ac:dyDescent="0.25">
      <c r="B504" s="441"/>
      <c r="C504" s="141">
        <f>$E$486</f>
        <v>9.8551186355513352</v>
      </c>
      <c r="D504" s="2"/>
      <c r="E504" s="434">
        <f>'Os juros sobre juros'!$E$32</f>
        <v>3.1600000000000003E-2</v>
      </c>
      <c r="F504" s="2"/>
      <c r="G504" s="457">
        <f>$G$490</f>
        <v>0.31140000000000001</v>
      </c>
      <c r="H504" s="443" t="s">
        <v>757</v>
      </c>
      <c r="I504" s="442"/>
    </row>
    <row r="505" spans="2:9" ht="15.95" customHeight="1" x14ac:dyDescent="0.25">
      <c r="B505" s="441"/>
      <c r="C505" s="2"/>
      <c r="D505" s="2"/>
      <c r="E505" s="2"/>
      <c r="F505" s="2"/>
      <c r="G505" s="2"/>
      <c r="H505" s="2"/>
      <c r="I505" s="442"/>
    </row>
    <row r="506" spans="2:9" ht="15.95" customHeight="1" x14ac:dyDescent="0.25">
      <c r="B506" s="441"/>
      <c r="C506" s="266">
        <f>$F$486</f>
        <v>321.72596153274543</v>
      </c>
      <c r="D506" s="2"/>
      <c r="E506" s="434">
        <f>'Os juros sobre juros'!$E$32</f>
        <v>3.1600000000000003E-2</v>
      </c>
      <c r="F506" s="2"/>
      <c r="G506" s="266">
        <f>$G$486</f>
        <v>10.166540384434757</v>
      </c>
      <c r="H506" s="444" t="s">
        <v>758</v>
      </c>
      <c r="I506" s="442"/>
    </row>
    <row r="507" spans="2:9" ht="15.95" customHeight="1" thickBot="1" x14ac:dyDescent="0.3">
      <c r="B507" s="445"/>
      <c r="C507" s="446"/>
      <c r="D507" s="446"/>
      <c r="E507" s="446"/>
      <c r="F507" s="446"/>
      <c r="G507" s="446"/>
      <c r="H507" s="446"/>
      <c r="I507" s="447"/>
    </row>
    <row r="508" spans="2:9" ht="15.95" customHeight="1" thickTop="1" x14ac:dyDescent="0.25"/>
    <row r="509" spans="2:9" ht="15.95" customHeight="1" x14ac:dyDescent="0.25"/>
    <row r="510" spans="2:9" ht="15.95" customHeight="1" x14ac:dyDescent="0.25"/>
    <row r="511" spans="2:9" ht="15.95" customHeight="1" x14ac:dyDescent="0.25"/>
    <row r="512" spans="2:9" ht="15.95" customHeight="1" x14ac:dyDescent="0.25"/>
    <row r="513" ht="15.95" customHeight="1" x14ac:dyDescent="0.25"/>
    <row r="514" ht="15.95" customHeight="1" x14ac:dyDescent="0.25"/>
    <row r="515" ht="15.95" customHeight="1" x14ac:dyDescent="0.25"/>
    <row r="516" ht="15.95" customHeight="1" x14ac:dyDescent="0.25"/>
    <row r="517" ht="15.95" customHeight="1" x14ac:dyDescent="0.25"/>
    <row r="518" ht="15.95" customHeight="1" x14ac:dyDescent="0.25"/>
    <row r="519" ht="15.95" customHeight="1" x14ac:dyDescent="0.25"/>
    <row r="520" ht="15.95" customHeight="1" x14ac:dyDescent="0.25"/>
    <row r="521" ht="15.95" customHeight="1" x14ac:dyDescent="0.25"/>
    <row r="522" ht="15.95" customHeight="1" x14ac:dyDescent="0.25"/>
    <row r="523" ht="15.95" customHeight="1" x14ac:dyDescent="0.25"/>
    <row r="524" ht="15.95" customHeight="1" x14ac:dyDescent="0.25"/>
    <row r="525" ht="15.95" customHeight="1" x14ac:dyDescent="0.25"/>
    <row r="526" ht="15.95" customHeight="1" x14ac:dyDescent="0.25"/>
    <row r="527" ht="15.95" customHeight="1" x14ac:dyDescent="0.25"/>
    <row r="528" ht="15.95" customHeight="1" x14ac:dyDescent="0.25"/>
    <row r="529" ht="15.95" customHeight="1" x14ac:dyDescent="0.25"/>
    <row r="530" ht="15.95" customHeight="1" x14ac:dyDescent="0.25"/>
    <row r="531" ht="15.95" customHeight="1" x14ac:dyDescent="0.25"/>
    <row r="532" ht="15.95" customHeight="1" x14ac:dyDescent="0.25"/>
    <row r="533" ht="15.95" customHeight="1" x14ac:dyDescent="0.25"/>
    <row r="534" ht="15.95" customHeight="1" x14ac:dyDescent="0.25"/>
    <row r="535" ht="15.95" customHeight="1" x14ac:dyDescent="0.25"/>
    <row r="536" ht="15.95" customHeight="1" x14ac:dyDescent="0.25"/>
    <row r="537" ht="15.95" customHeight="1" x14ac:dyDescent="0.25"/>
    <row r="538" ht="15.95" customHeight="1" x14ac:dyDescent="0.25"/>
    <row r="539" ht="15.95" customHeight="1" x14ac:dyDescent="0.25"/>
    <row r="540" ht="15.95" customHeight="1" x14ac:dyDescent="0.25"/>
    <row r="541" ht="15.95" customHeight="1" x14ac:dyDescent="0.25"/>
    <row r="542" ht="15.95" customHeight="1" x14ac:dyDescent="0.25"/>
    <row r="543" ht="15.95" customHeight="1" x14ac:dyDescent="0.25"/>
    <row r="544" ht="15.95" customHeight="1" x14ac:dyDescent="0.25"/>
    <row r="545" ht="15.95" customHeight="1" x14ac:dyDescent="0.25"/>
    <row r="546" ht="15.95" customHeight="1" x14ac:dyDescent="0.25"/>
    <row r="547" ht="15.95" customHeight="1" x14ac:dyDescent="0.25"/>
    <row r="548" ht="15.95" customHeight="1" x14ac:dyDescent="0.25"/>
    <row r="549" ht="15.95" customHeight="1" x14ac:dyDescent="0.25"/>
    <row r="550" ht="15.95" customHeight="1" x14ac:dyDescent="0.25"/>
    <row r="551" ht="15.95" customHeight="1" x14ac:dyDescent="0.25"/>
    <row r="552" ht="15.95" customHeight="1" x14ac:dyDescent="0.25"/>
    <row r="553" ht="15.95" customHeight="1" x14ac:dyDescent="0.25"/>
    <row r="554" ht="15.95" customHeight="1" x14ac:dyDescent="0.25"/>
    <row r="555" ht="15.95" customHeight="1" x14ac:dyDescent="0.25"/>
    <row r="556" ht="15.95" customHeight="1" x14ac:dyDescent="0.25"/>
    <row r="557" ht="15.95" customHeight="1" x14ac:dyDescent="0.25"/>
    <row r="558" ht="15.95" customHeight="1" x14ac:dyDescent="0.25"/>
    <row r="559" ht="15.95" customHeight="1" x14ac:dyDescent="0.25"/>
    <row r="560" ht="15.95" customHeight="1" x14ac:dyDescent="0.25"/>
    <row r="561" ht="15.95" customHeight="1" x14ac:dyDescent="0.25"/>
    <row r="562" ht="15.95" customHeight="1" x14ac:dyDescent="0.25"/>
    <row r="563" ht="15.95" customHeight="1" x14ac:dyDescent="0.25"/>
    <row r="564" ht="15.95" customHeight="1" x14ac:dyDescent="0.25"/>
    <row r="565" ht="15.95" customHeight="1" x14ac:dyDescent="0.25"/>
    <row r="566" ht="15.95" customHeight="1" x14ac:dyDescent="0.25"/>
    <row r="567" ht="15.95" customHeight="1" x14ac:dyDescent="0.25"/>
    <row r="568" ht="15.95" customHeight="1" x14ac:dyDescent="0.25"/>
    <row r="569" ht="15.95" customHeight="1" x14ac:dyDescent="0.25"/>
    <row r="570" ht="15.95" customHeight="1" x14ac:dyDescent="0.25"/>
    <row r="571" ht="15.95" customHeight="1" x14ac:dyDescent="0.25"/>
    <row r="572" ht="15.95" customHeight="1" x14ac:dyDescent="0.25"/>
    <row r="573" ht="15.95" customHeight="1" x14ac:dyDescent="0.25"/>
    <row r="574" ht="15.95" customHeight="1" x14ac:dyDescent="0.25"/>
    <row r="575" ht="15.95" customHeight="1" x14ac:dyDescent="0.25"/>
    <row r="576" ht="15.95" customHeight="1" x14ac:dyDescent="0.25"/>
    <row r="577" ht="15.95" customHeight="1" x14ac:dyDescent="0.25"/>
    <row r="578" ht="15.95" customHeight="1" x14ac:dyDescent="0.25"/>
    <row r="579" ht="15.95" customHeight="1" x14ac:dyDescent="0.25"/>
    <row r="580" ht="15.95" customHeight="1" x14ac:dyDescent="0.25"/>
    <row r="581" ht="15.95" customHeight="1" x14ac:dyDescent="0.25"/>
    <row r="582" ht="15.95" customHeight="1" x14ac:dyDescent="0.25"/>
    <row r="583" ht="15.95" customHeight="1" x14ac:dyDescent="0.25"/>
    <row r="584" ht="15.95" customHeight="1" x14ac:dyDescent="0.25"/>
    <row r="585" ht="15.95" customHeight="1" x14ac:dyDescent="0.25"/>
    <row r="586" ht="15.95" customHeight="1" x14ac:dyDescent="0.25"/>
    <row r="587" ht="15.95" customHeight="1" x14ac:dyDescent="0.25"/>
    <row r="588" ht="15.95" customHeight="1" x14ac:dyDescent="0.25"/>
    <row r="589" ht="15.95" customHeight="1" x14ac:dyDescent="0.25"/>
    <row r="590" ht="15.95" customHeight="1" x14ac:dyDescent="0.25"/>
    <row r="591" ht="15.95" customHeight="1" x14ac:dyDescent="0.25"/>
    <row r="592" ht="15.95" customHeight="1" x14ac:dyDescent="0.25"/>
    <row r="593" ht="15.95" customHeight="1" x14ac:dyDescent="0.25"/>
    <row r="594" ht="15.95" customHeight="1" x14ac:dyDescent="0.25"/>
    <row r="595" ht="15.95" customHeight="1" x14ac:dyDescent="0.25"/>
    <row r="596" ht="15.95" customHeight="1" x14ac:dyDescent="0.25"/>
    <row r="597" ht="15.95" customHeight="1" x14ac:dyDescent="0.25"/>
    <row r="598" ht="15.95" customHeight="1" x14ac:dyDescent="0.25"/>
    <row r="599" ht="15.95" customHeight="1" x14ac:dyDescent="0.25"/>
    <row r="600" ht="15.95" customHeight="1" x14ac:dyDescent="0.25"/>
    <row r="601" ht="15.95" customHeight="1" x14ac:dyDescent="0.25"/>
    <row r="602" ht="15.95" customHeight="1" x14ac:dyDescent="0.25"/>
    <row r="603" ht="15.95" customHeight="1" x14ac:dyDescent="0.25"/>
    <row r="604" ht="15.95" customHeight="1" x14ac:dyDescent="0.25"/>
    <row r="605" ht="15.95" customHeight="1" x14ac:dyDescent="0.25"/>
    <row r="606" ht="15.95" customHeight="1" x14ac:dyDescent="0.25"/>
    <row r="607" ht="15.95" customHeight="1" x14ac:dyDescent="0.25"/>
    <row r="608" ht="15.95" customHeight="1" x14ac:dyDescent="0.25"/>
    <row r="609" ht="15.95" customHeight="1" x14ac:dyDescent="0.25"/>
    <row r="610" ht="15.95" customHeight="1" x14ac:dyDescent="0.25"/>
    <row r="611" ht="15.95" customHeight="1" x14ac:dyDescent="0.25"/>
    <row r="612" ht="15.95" customHeight="1" x14ac:dyDescent="0.25"/>
    <row r="613" ht="15.95" customHeight="1" x14ac:dyDescent="0.25"/>
    <row r="614" ht="15.95" customHeight="1" x14ac:dyDescent="0.25"/>
    <row r="615" ht="15.95" customHeight="1" x14ac:dyDescent="0.25"/>
    <row r="616" ht="15.95" customHeight="1" x14ac:dyDescent="0.25"/>
    <row r="617" ht="15.95" customHeight="1" x14ac:dyDescent="0.25"/>
    <row r="618" ht="15.95" customHeight="1" x14ac:dyDescent="0.25"/>
    <row r="619" ht="15.95" customHeight="1" x14ac:dyDescent="0.25"/>
    <row r="620" ht="15.95" customHeight="1" x14ac:dyDescent="0.25"/>
    <row r="621" ht="15.95" customHeight="1" x14ac:dyDescent="0.25"/>
    <row r="622" ht="15.95" customHeight="1" x14ac:dyDescent="0.25"/>
  </sheetData>
  <sheetProtection password="C6BE" sheet="1" objects="1" scenarios="1" formatColumns="0" insertRows="0" deleteRows="0"/>
  <mergeCells count="76">
    <mergeCell ref="K324:M324"/>
    <mergeCell ref="C324:E324"/>
    <mergeCell ref="G324:I324"/>
    <mergeCell ref="C413:D413"/>
    <mergeCell ref="C254:E254"/>
    <mergeCell ref="K289:M289"/>
    <mergeCell ref="B305:D305"/>
    <mergeCell ref="F305:H305"/>
    <mergeCell ref="J305:L305"/>
    <mergeCell ref="J270:L270"/>
    <mergeCell ref="F270:H270"/>
    <mergeCell ref="K254:M254"/>
    <mergeCell ref="C289:E289"/>
    <mergeCell ref="C411:D411"/>
    <mergeCell ref="B360:D360"/>
    <mergeCell ref="C484:C485"/>
    <mergeCell ref="D484:E484"/>
    <mergeCell ref="F484:G484"/>
    <mergeCell ref="K439:M439"/>
    <mergeCell ref="B420:D420"/>
    <mergeCell ref="F420:H420"/>
    <mergeCell ref="J420:L420"/>
    <mergeCell ref="C439:E439"/>
    <mergeCell ref="G439:I439"/>
    <mergeCell ref="B159:D159"/>
    <mergeCell ref="G254:I254"/>
    <mergeCell ref="F159:G159"/>
    <mergeCell ref="I159:J159"/>
    <mergeCell ref="J108:K109"/>
    <mergeCell ref="C203:E203"/>
    <mergeCell ref="K203:M203"/>
    <mergeCell ref="B235:D235"/>
    <mergeCell ref="F235:H235"/>
    <mergeCell ref="E108:F109"/>
    <mergeCell ref="D108:D109"/>
    <mergeCell ref="G108:H109"/>
    <mergeCell ref="L159:M159"/>
    <mergeCell ref="G203:I203"/>
    <mergeCell ref="J184:L184"/>
    <mergeCell ref="J235:L235"/>
    <mergeCell ref="B184:D184"/>
    <mergeCell ref="F184:H184"/>
    <mergeCell ref="B399:D399"/>
    <mergeCell ref="B398:C398"/>
    <mergeCell ref="G289:I289"/>
    <mergeCell ref="B270:D270"/>
    <mergeCell ref="J105:K105"/>
    <mergeCell ref="E105:F105"/>
    <mergeCell ref="B105:B106"/>
    <mergeCell ref="B42:B43"/>
    <mergeCell ref="C42:D42"/>
    <mergeCell ref="E42:F42"/>
    <mergeCell ref="G42:H42"/>
    <mergeCell ref="B58:B59"/>
    <mergeCell ref="C58:D58"/>
    <mergeCell ref="E58:F58"/>
    <mergeCell ref="G58:H58"/>
    <mergeCell ref="B81:G86"/>
    <mergeCell ref="C98:D98"/>
    <mergeCell ref="C99:D99"/>
    <mergeCell ref="O159:P159"/>
    <mergeCell ref="B20:G22"/>
    <mergeCell ref="M163:M164"/>
    <mergeCell ref="P164:P165"/>
    <mergeCell ref="G161:G162"/>
    <mergeCell ref="J162:J163"/>
    <mergeCell ref="M105:N105"/>
    <mergeCell ref="D105:D106"/>
    <mergeCell ref="G105:H105"/>
    <mergeCell ref="C105:C106"/>
    <mergeCell ref="M108:N109"/>
    <mergeCell ref="B27:B28"/>
    <mergeCell ref="C27:D27"/>
    <mergeCell ref="E27:F27"/>
    <mergeCell ref="G27:H27"/>
    <mergeCell ref="C97:D97"/>
  </mergeCells>
  <conditionalFormatting sqref="B399">
    <cfRule type="cellIs" dxfId="10" priority="4" operator="greaterThan">
      <formula>" "</formula>
    </cfRule>
  </conditionalFormatting>
  <conditionalFormatting sqref="C354">
    <cfRule type="cellIs" dxfId="9" priority="2" operator="greaterThan">
      <formula>" "</formula>
    </cfRule>
  </conditionalFormatting>
  <conditionalFormatting sqref="C413:D413">
    <cfRule type="cellIs" dxfId="8" priority="1" operator="greaterThan">
      <formula>" "</formula>
    </cfRule>
  </conditionalFormatting>
  <hyperlinks>
    <hyperlink ref="C3" location="Cel_4.1" display="4.1) Os conceitos de valor de juros efetivos, valor de juros nominais e valor de juros sobre juros"/>
    <hyperlink ref="C4" location="Cel_4.2" display="4.2) Análise do valor anual efetivo e do valor anual nominal na prestação 12 do contrato"/>
    <hyperlink ref="C5" location="Cel_4.3" display="4.3) Análise dos valores anuais efetivos e dos valores anuais nominais na prestação 15"/>
    <hyperlink ref="C6" location="Cel_4.3.1" display="4.3.1) Resumo dos valores de juros anuais efetivos na prestação 15"/>
    <hyperlink ref="C7" location="Cel_4.3.2" display="4.3.2) Dados da prestação 15 - meses 01 a 12"/>
    <hyperlink ref="C8" location="Cel_4.3.3" display="4.3.3) Dados da prestação 15 - meses 02 a 13"/>
    <hyperlink ref="C9" location="Cel_4.3.4" display="4.3.4) Dados da prestação 15 - meses 03 a 14"/>
    <hyperlink ref="C10" location="Cel_4.3.5" display="4.3.5) Dados da prestação 15 - meses 04 a 15"/>
    <hyperlink ref="C11" location="Cel_4.4" display="4.4) Análise dos valores anuais efetivos e dos valores anuais nominais em qualquer período consecutivo de 12 meses"/>
    <hyperlink ref="C12" location="Cel_4.5" display="4.5) Conclusões sobre taxas anuais e duodécuplo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637"/>
  <sheetViews>
    <sheetView zoomScale="80" zoomScaleNormal="80" workbookViewId="0">
      <selection activeCell="J10" sqref="J10"/>
    </sheetView>
  </sheetViews>
  <sheetFormatPr defaultRowHeight="15" x14ac:dyDescent="0.25"/>
  <cols>
    <col min="1" max="1" width="5.7109375" customWidth="1"/>
    <col min="2" max="2" width="13.7109375" customWidth="1"/>
    <col min="3" max="3" width="16.5703125" customWidth="1"/>
    <col min="4" max="4" width="19.28515625" customWidth="1"/>
    <col min="5" max="5" width="20.28515625" customWidth="1"/>
    <col min="6" max="6" width="19" customWidth="1"/>
    <col min="7" max="7" width="16.28515625" customWidth="1"/>
    <col min="8" max="8" width="18.85546875" customWidth="1"/>
    <col min="9" max="9" width="15.7109375" customWidth="1"/>
    <col min="10" max="10" width="13.5703125" customWidth="1"/>
    <col min="11" max="11" width="17" customWidth="1"/>
    <col min="12" max="12" width="13.140625" customWidth="1"/>
    <col min="13" max="13" width="18.7109375" customWidth="1"/>
    <col min="14" max="14" width="13.28515625" customWidth="1"/>
    <col min="15" max="15" width="12.7109375" customWidth="1"/>
    <col min="16" max="16" width="13.28515625" customWidth="1"/>
    <col min="17" max="17" width="12.42578125" customWidth="1"/>
    <col min="18" max="18" width="13.140625" customWidth="1"/>
    <col min="19" max="19" width="12.28515625" customWidth="1"/>
  </cols>
  <sheetData>
    <row r="1" spans="1:3" s="43" customFormat="1" ht="30" customHeight="1" x14ac:dyDescent="0.25">
      <c r="A1" s="377" t="s">
        <v>352</v>
      </c>
    </row>
    <row r="2" spans="1:3" s="38" customFormat="1" ht="15.95" customHeight="1" x14ac:dyDescent="0.25">
      <c r="C2" s="420" t="s">
        <v>860</v>
      </c>
    </row>
    <row r="3" spans="1:3" s="43" customFormat="1" ht="15.95" customHeight="1" x14ac:dyDescent="0.25">
      <c r="A3" s="377"/>
      <c r="C3" s="451" t="s">
        <v>377</v>
      </c>
    </row>
    <row r="4" spans="1:3" s="43" customFormat="1" ht="15.95" customHeight="1" x14ac:dyDescent="0.25">
      <c r="A4" s="377"/>
      <c r="C4" s="451" t="s">
        <v>768</v>
      </c>
    </row>
    <row r="5" spans="1:3" s="43" customFormat="1" ht="15.95" customHeight="1" x14ac:dyDescent="0.25">
      <c r="A5" s="377"/>
      <c r="C5" s="451" t="s">
        <v>769</v>
      </c>
    </row>
    <row r="6" spans="1:3" s="43" customFormat="1" ht="15.95" customHeight="1" x14ac:dyDescent="0.25">
      <c r="A6" s="377"/>
      <c r="C6" s="451" t="s">
        <v>924</v>
      </c>
    </row>
    <row r="7" spans="1:3" s="43" customFormat="1" ht="15.95" customHeight="1" x14ac:dyDescent="0.25">
      <c r="A7" s="377"/>
      <c r="C7" s="451" t="s">
        <v>771</v>
      </c>
    </row>
    <row r="8" spans="1:3" s="43" customFormat="1" ht="15.95" customHeight="1" x14ac:dyDescent="0.25">
      <c r="A8" s="377"/>
      <c r="C8" s="452" t="s">
        <v>772</v>
      </c>
    </row>
    <row r="9" spans="1:3" s="43" customFormat="1" ht="15.95" customHeight="1" x14ac:dyDescent="0.25">
      <c r="A9" s="377"/>
      <c r="C9" s="452" t="s">
        <v>773</v>
      </c>
    </row>
    <row r="10" spans="1:3" s="43" customFormat="1" ht="15.95" customHeight="1" x14ac:dyDescent="0.25">
      <c r="A10" s="377"/>
      <c r="C10" s="452" t="s">
        <v>774</v>
      </c>
    </row>
    <row r="11" spans="1:3" s="43" customFormat="1" ht="15.95" customHeight="1" x14ac:dyDescent="0.25">
      <c r="A11" s="377"/>
      <c r="C11" s="451" t="s">
        <v>775</v>
      </c>
    </row>
    <row r="12" spans="1:3" s="43" customFormat="1" ht="15.95" customHeight="1" x14ac:dyDescent="0.25">
      <c r="A12" s="377"/>
      <c r="C12" s="452" t="s">
        <v>776</v>
      </c>
    </row>
    <row r="13" spans="1:3" s="43" customFormat="1" ht="15.95" customHeight="1" x14ac:dyDescent="0.25">
      <c r="A13" s="377"/>
      <c r="C13" s="452" t="s">
        <v>777</v>
      </c>
    </row>
    <row r="14" spans="1:3" s="43" customFormat="1" ht="15.95" customHeight="1" x14ac:dyDescent="0.25">
      <c r="A14" s="377"/>
      <c r="C14" s="449" t="s">
        <v>859</v>
      </c>
    </row>
    <row r="15" spans="1:3" s="38" customFormat="1" ht="15.95" customHeight="1" x14ac:dyDescent="0.25"/>
    <row r="16" spans="1:3" s="43" customFormat="1" ht="24.95" customHeight="1" x14ac:dyDescent="0.25">
      <c r="A16" s="378" t="s">
        <v>377</v>
      </c>
    </row>
    <row r="17" spans="2:2" s="38" customFormat="1" ht="15.95" customHeight="1" x14ac:dyDescent="0.25">
      <c r="B17" s="38" t="s">
        <v>392</v>
      </c>
    </row>
    <row r="18" spans="2:2" s="38" customFormat="1" ht="15.95" customHeight="1" x14ac:dyDescent="0.25">
      <c r="B18" s="38" t="s">
        <v>393</v>
      </c>
    </row>
    <row r="19" spans="2:2" s="38" customFormat="1" ht="15.95" customHeight="1" x14ac:dyDescent="0.25">
      <c r="B19" s="38" t="s">
        <v>390</v>
      </c>
    </row>
    <row r="20" spans="2:2" s="38" customFormat="1" ht="15.95" customHeight="1" x14ac:dyDescent="0.25">
      <c r="B20" s="38" t="s">
        <v>391</v>
      </c>
    </row>
    <row r="21" spans="2:2" s="38" customFormat="1" ht="15.95" customHeight="1" x14ac:dyDescent="0.25"/>
    <row r="22" spans="2:2" s="289" customFormat="1" ht="24.95" customHeight="1" x14ac:dyDescent="0.25">
      <c r="B22" s="384" t="s">
        <v>380</v>
      </c>
    </row>
    <row r="23" spans="2:2" s="38" customFormat="1" ht="15.95" customHeight="1" x14ac:dyDescent="0.25">
      <c r="B23" s="38" t="s">
        <v>443</v>
      </c>
    </row>
    <row r="24" spans="2:2" s="38" customFormat="1" ht="15.95" customHeight="1" x14ac:dyDescent="0.25">
      <c r="B24" s="38" t="s">
        <v>646</v>
      </c>
    </row>
    <row r="25" spans="2:2" s="38" customFormat="1" ht="15.95" customHeight="1" x14ac:dyDescent="0.25">
      <c r="B25" s="38" t="s">
        <v>382</v>
      </c>
    </row>
    <row r="26" spans="2:2" s="38" customFormat="1" ht="15.95" customHeight="1" x14ac:dyDescent="0.25">
      <c r="B26" s="38" t="s">
        <v>647</v>
      </c>
    </row>
    <row r="27" spans="2:2" s="38" customFormat="1" ht="15.95" customHeight="1" x14ac:dyDescent="0.25">
      <c r="B27" s="38" t="s">
        <v>384</v>
      </c>
    </row>
    <row r="28" spans="2:2" s="38" customFormat="1" ht="15.95" customHeight="1" x14ac:dyDescent="0.25">
      <c r="B28" s="38" t="s">
        <v>385</v>
      </c>
    </row>
    <row r="29" spans="2:2" s="38" customFormat="1" ht="15.95" customHeight="1" x14ac:dyDescent="0.25">
      <c r="B29" s="38" t="s">
        <v>386</v>
      </c>
    </row>
    <row r="30" spans="2:2" s="38" customFormat="1" ht="15.95" customHeight="1" x14ac:dyDescent="0.25">
      <c r="B30" s="38" t="s">
        <v>648</v>
      </c>
    </row>
    <row r="31" spans="2:2" s="38" customFormat="1" ht="15.95" customHeight="1" x14ac:dyDescent="0.25">
      <c r="B31" s="38" t="s">
        <v>388</v>
      </c>
    </row>
    <row r="32" spans="2:2" s="38" customFormat="1" ht="15.95" customHeight="1" x14ac:dyDescent="0.25">
      <c r="B32" s="38" t="s">
        <v>389</v>
      </c>
    </row>
    <row r="33" spans="1:5" s="38" customFormat="1" ht="15.95" customHeight="1" x14ac:dyDescent="0.25"/>
    <row r="34" spans="1:5" s="38" customFormat="1" ht="15.95" customHeight="1" x14ac:dyDescent="0.25">
      <c r="B34" s="38" t="s">
        <v>394</v>
      </c>
    </row>
    <row r="35" spans="1:5" s="38" customFormat="1" ht="15.95" customHeight="1" x14ac:dyDescent="0.25">
      <c r="B35" s="38" t="s">
        <v>432</v>
      </c>
    </row>
    <row r="36" spans="1:5" s="38" customFormat="1" ht="15.95" customHeight="1" x14ac:dyDescent="0.25">
      <c r="B36" s="38" t="s">
        <v>649</v>
      </c>
    </row>
    <row r="37" spans="1:5" s="38" customFormat="1" ht="15.95" customHeight="1" x14ac:dyDescent="0.25">
      <c r="B37" s="38" t="s">
        <v>433</v>
      </c>
    </row>
    <row r="38" spans="1:5" s="38" customFormat="1" ht="15.95" customHeight="1" x14ac:dyDescent="0.25"/>
    <row r="39" spans="1:5" s="38" customFormat="1" ht="15.95" customHeight="1" x14ac:dyDescent="0.25">
      <c r="B39" s="38" t="s">
        <v>931</v>
      </c>
    </row>
    <row r="40" spans="1:5" s="38" customFormat="1" ht="15.95" customHeight="1" x14ac:dyDescent="0.25">
      <c r="B40" s="38" t="s">
        <v>431</v>
      </c>
    </row>
    <row r="41" spans="1:5" s="38" customFormat="1" ht="15.95" customHeight="1" x14ac:dyDescent="0.25">
      <c r="B41" s="211"/>
      <c r="C41" s="135"/>
      <c r="D41" s="135"/>
      <c r="E41" s="135"/>
    </row>
    <row r="42" spans="1:5" s="43" customFormat="1" ht="24.95" customHeight="1" x14ac:dyDescent="0.25">
      <c r="A42" s="378" t="s">
        <v>768</v>
      </c>
    </row>
    <row r="43" spans="1:5" s="111" customFormat="1" ht="15.95" customHeight="1" x14ac:dyDescent="0.25">
      <c r="A43" s="44"/>
      <c r="B43" s="111" t="s">
        <v>614</v>
      </c>
    </row>
    <row r="44" spans="1:5" s="111" customFormat="1" ht="15.95" customHeight="1" x14ac:dyDescent="0.25">
      <c r="A44" s="44"/>
      <c r="B44" s="111" t="s">
        <v>395</v>
      </c>
    </row>
    <row r="45" spans="1:5" s="111" customFormat="1" ht="15.95" customHeight="1" x14ac:dyDescent="0.25">
      <c r="A45" s="44"/>
      <c r="B45" s="111" t="s">
        <v>936</v>
      </c>
    </row>
    <row r="46" spans="1:5" s="111" customFormat="1" ht="15.95" customHeight="1" x14ac:dyDescent="0.25">
      <c r="A46" s="44"/>
    </row>
    <row r="47" spans="1:5" s="274" customFormat="1" ht="24.95" customHeight="1" x14ac:dyDescent="0.25">
      <c r="B47" s="384" t="s">
        <v>446</v>
      </c>
    </row>
    <row r="48" spans="1:5" s="111" customFormat="1" ht="15.95" customHeight="1" x14ac:dyDescent="0.25">
      <c r="A48" s="44"/>
      <c r="B48" s="111" t="s">
        <v>424</v>
      </c>
    </row>
    <row r="49" spans="1:6" s="111" customFormat="1" ht="15.95" customHeight="1" x14ac:dyDescent="0.25">
      <c r="A49" s="44"/>
      <c r="B49" s="111" t="s">
        <v>184</v>
      </c>
    </row>
    <row r="50" spans="1:6" s="111" customFormat="1" ht="15.95" customHeight="1" x14ac:dyDescent="0.25">
      <c r="A50" s="44"/>
      <c r="B50" s="111" t="s">
        <v>335</v>
      </c>
    </row>
    <row r="51" spans="1:6" s="111" customFormat="1" ht="15.95" customHeight="1" x14ac:dyDescent="0.25">
      <c r="A51" s="44"/>
    </row>
    <row r="52" spans="1:6" s="149" customFormat="1" ht="24.95" customHeight="1" x14ac:dyDescent="0.25">
      <c r="A52" s="148"/>
      <c r="C52" s="384" t="s">
        <v>444</v>
      </c>
    </row>
    <row r="53" spans="1:6" s="111" customFormat="1" ht="15.95" customHeight="1" x14ac:dyDescent="0.25">
      <c r="A53" s="44"/>
      <c r="C53" s="111" t="s">
        <v>445</v>
      </c>
    </row>
    <row r="54" spans="1:6" s="111" customFormat="1" ht="15.95" customHeight="1" x14ac:dyDescent="0.25">
      <c r="A54" s="44"/>
      <c r="C54" s="111" t="s">
        <v>434</v>
      </c>
    </row>
    <row r="55" spans="1:6" s="79" customFormat="1" ht="15.95" customHeight="1" x14ac:dyDescent="0.25">
      <c r="C55" s="79" t="s">
        <v>198</v>
      </c>
      <c r="D55" s="150"/>
      <c r="E55" s="150"/>
    </row>
    <row r="56" spans="1:6" s="79" customFormat="1" ht="15.95" customHeight="1" x14ac:dyDescent="0.25">
      <c r="C56" s="79" t="s">
        <v>927</v>
      </c>
      <c r="D56" s="150"/>
      <c r="E56" s="150"/>
    </row>
    <row r="57" spans="1:6" s="79" customFormat="1" ht="15.95" customHeight="1" x14ac:dyDescent="0.25"/>
    <row r="58" spans="1:6" s="38" customFormat="1" ht="24.95" customHeight="1" x14ac:dyDescent="0.25">
      <c r="C58" s="390" t="s">
        <v>133</v>
      </c>
    </row>
    <row r="59" spans="1:6" s="38" customFormat="1" ht="20.100000000000001" customHeight="1" x14ac:dyDescent="0.25">
      <c r="C59" s="404" t="s">
        <v>17</v>
      </c>
      <c r="D59" s="404" t="s">
        <v>18</v>
      </c>
      <c r="E59" s="404" t="s">
        <v>24</v>
      </c>
      <c r="F59" s="404" t="s">
        <v>299</v>
      </c>
    </row>
    <row r="60" spans="1:6" s="38" customFormat="1" ht="15.95" customHeight="1" x14ac:dyDescent="0.25">
      <c r="C60" s="125">
        <f>'Os juros sobre juros'!$E$46</f>
        <v>331.89250191718025</v>
      </c>
      <c r="D60" s="129">
        <f>'Os juros sobre juros'!$C$90</f>
        <v>11948.130069018489</v>
      </c>
      <c r="E60" s="129">
        <f>'Os juros sobre juros'!$E$31</f>
        <v>7076.02</v>
      </c>
      <c r="F60" s="129">
        <f>'Os juros sobre juros'!$E$90</f>
        <v>4872.1100690184885</v>
      </c>
    </row>
    <row r="61" spans="1:6" s="111" customFormat="1" ht="15.95" customHeight="1" x14ac:dyDescent="0.25">
      <c r="A61" s="44"/>
    </row>
    <row r="62" spans="1:6" s="111" customFormat="1" ht="15.95" customHeight="1" x14ac:dyDescent="0.25">
      <c r="A62" s="44"/>
      <c r="B62" s="111" t="s">
        <v>291</v>
      </c>
    </row>
    <row r="63" spans="1:6" s="111" customFormat="1" ht="15.95" customHeight="1" x14ac:dyDescent="0.25">
      <c r="A63" s="44"/>
      <c r="B63" s="111" t="s">
        <v>615</v>
      </c>
    </row>
    <row r="64" spans="1:6" s="111" customFormat="1" ht="15.95" customHeight="1" x14ac:dyDescent="0.25">
      <c r="A64" s="44"/>
      <c r="B64" s="111" t="s">
        <v>183</v>
      </c>
    </row>
    <row r="65" spans="1:7" s="111" customFormat="1" ht="15.95" customHeight="1" x14ac:dyDescent="0.25">
      <c r="A65" s="44"/>
    </row>
    <row r="66" spans="1:7" s="43" customFormat="1" ht="24.95" customHeight="1" x14ac:dyDescent="0.25">
      <c r="B66" s="390" t="s">
        <v>518</v>
      </c>
    </row>
    <row r="67" spans="1:7" s="43" customFormat="1" ht="15.95" customHeight="1" x14ac:dyDescent="0.25"/>
    <row r="68" spans="1:7" s="43" customFormat="1" ht="20.100000000000001" customHeight="1" x14ac:dyDescent="0.25">
      <c r="B68" s="44"/>
      <c r="D68" s="606" t="s">
        <v>120</v>
      </c>
      <c r="E68" s="606"/>
      <c r="F68" s="606"/>
    </row>
    <row r="69" spans="1:7" s="43" customFormat="1" ht="20.100000000000001" customHeight="1" x14ac:dyDescent="0.25">
      <c r="B69" s="44"/>
      <c r="D69" s="281" t="s">
        <v>18</v>
      </c>
      <c r="E69" s="281" t="s">
        <v>38</v>
      </c>
      <c r="F69" s="281" t="s">
        <v>24</v>
      </c>
    </row>
    <row r="70" spans="1:7" s="43" customFormat="1" ht="20.100000000000001" customHeight="1" x14ac:dyDescent="0.25">
      <c r="B70" s="44"/>
      <c r="D70" s="290">
        <f>'Os juros sobre juros'!$C$90</f>
        <v>11948.130069018489</v>
      </c>
      <c r="E70" s="290">
        <f>'Os juros sobre juros'!$E$90</f>
        <v>4872.1100690184885</v>
      </c>
      <c r="F70" s="290">
        <f>'Os juros sobre juros'!$D$90</f>
        <v>7076.02</v>
      </c>
    </row>
    <row r="71" spans="1:7" s="43" customFormat="1" ht="15.95" customHeight="1" x14ac:dyDescent="0.25">
      <c r="B71" s="110"/>
    </row>
    <row r="72" spans="1:7" s="43" customFormat="1" ht="20.100000000000001" customHeight="1" x14ac:dyDescent="0.25">
      <c r="B72" s="281" t="s">
        <v>64</v>
      </c>
      <c r="C72" s="281" t="s">
        <v>121</v>
      </c>
      <c r="D72" s="281" t="s">
        <v>17</v>
      </c>
      <c r="E72" s="281" t="s">
        <v>21</v>
      </c>
      <c r="F72" s="281" t="s">
        <v>90</v>
      </c>
      <c r="G72" s="281" t="s">
        <v>122</v>
      </c>
    </row>
    <row r="73" spans="1:7" s="43" customFormat="1" ht="15.95" customHeight="1" x14ac:dyDescent="0.25">
      <c r="B73" s="142">
        <v>1</v>
      </c>
      <c r="C73" s="179">
        <f>'Os juros sobre juros'!$E$31</f>
        <v>7076.02</v>
      </c>
      <c r="D73" s="179">
        <f>'Os juros sobre juros'!$E$46</f>
        <v>331.89250191718025</v>
      </c>
      <c r="E73" s="179">
        <f>C73*'Os juros sobre juros'!$E$32</f>
        <v>223.60223200000004</v>
      </c>
      <c r="F73" s="179">
        <f>D73-E73</f>
        <v>108.29026991718021</v>
      </c>
      <c r="G73" s="179">
        <f>C73-F73</f>
        <v>6967.7297300828204</v>
      </c>
    </row>
    <row r="74" spans="1:7" s="43" customFormat="1" ht="15.95" customHeight="1" x14ac:dyDescent="0.25">
      <c r="B74" s="142">
        <f>B73+1</f>
        <v>2</v>
      </c>
      <c r="C74" s="179">
        <f>G73</f>
        <v>6967.7297300828204</v>
      </c>
      <c r="D74" s="179">
        <f>'Os juros sobre juros'!$E$46</f>
        <v>331.89250191718025</v>
      </c>
      <c r="E74" s="179">
        <f>C74*'Os juros sobre juros'!$E$32</f>
        <v>220.18025947061716</v>
      </c>
      <c r="F74" s="179">
        <f t="shared" ref="F74:F77" si="0">D74-E74</f>
        <v>111.7122424465631</v>
      </c>
      <c r="G74" s="179">
        <f>C74-F74</f>
        <v>6856.0174876362571</v>
      </c>
    </row>
    <row r="75" spans="1:7" s="43" customFormat="1" ht="15.95" customHeight="1" x14ac:dyDescent="0.25">
      <c r="B75" s="142">
        <f t="shared" ref="B75:B77" si="1">B74+1</f>
        <v>3</v>
      </c>
      <c r="C75" s="179">
        <f>G74</f>
        <v>6856.0174876362571</v>
      </c>
      <c r="D75" s="179">
        <f>'Os juros sobre juros'!$E$46</f>
        <v>331.89250191718025</v>
      </c>
      <c r="E75" s="179">
        <f>C75*'Os juros sobre juros'!$E$32</f>
        <v>216.65015260930574</v>
      </c>
      <c r="F75" s="179">
        <f t="shared" si="0"/>
        <v>115.24234930787452</v>
      </c>
      <c r="G75" s="179">
        <f>C75-F75</f>
        <v>6740.775138328383</v>
      </c>
    </row>
    <row r="76" spans="1:7" s="43" customFormat="1" ht="15.95" customHeight="1" x14ac:dyDescent="0.25">
      <c r="B76" s="142">
        <f t="shared" si="1"/>
        <v>4</v>
      </c>
      <c r="C76" s="179">
        <f>G75</f>
        <v>6740.775138328383</v>
      </c>
      <c r="D76" s="179">
        <f>'Os juros sobre juros'!$E$46</f>
        <v>331.89250191718025</v>
      </c>
      <c r="E76" s="179">
        <f>C76*'Os juros sobre juros'!$E$32</f>
        <v>213.00849437117694</v>
      </c>
      <c r="F76" s="179">
        <f t="shared" si="0"/>
        <v>118.88400754600332</v>
      </c>
      <c r="G76" s="179">
        <f>C76-F76</f>
        <v>6621.8911307823801</v>
      </c>
    </row>
    <row r="77" spans="1:7" s="43" customFormat="1" ht="15.95" customHeight="1" x14ac:dyDescent="0.25">
      <c r="B77" s="142">
        <f t="shared" si="1"/>
        <v>5</v>
      </c>
      <c r="C77" s="179">
        <f>G76</f>
        <v>6621.8911307823801</v>
      </c>
      <c r="D77" s="179">
        <f>'Os juros sobre juros'!$E$46</f>
        <v>331.89250191718025</v>
      </c>
      <c r="E77" s="179">
        <f>C77*'Os juros sobre juros'!$E$32</f>
        <v>209.25175973272323</v>
      </c>
      <c r="F77" s="179">
        <f t="shared" si="0"/>
        <v>122.64074218445703</v>
      </c>
      <c r="G77" s="179">
        <f>C77-F77</f>
        <v>6499.2503885979231</v>
      </c>
    </row>
    <row r="78" spans="1:7" s="43" customFormat="1" ht="15.95" customHeight="1" x14ac:dyDescent="0.25">
      <c r="B78" s="142">
        <f t="shared" ref="B78:B108" si="2">B77+1</f>
        <v>6</v>
      </c>
      <c r="C78" s="179">
        <f t="shared" ref="C78:C108" si="3">G77</f>
        <v>6499.2503885979231</v>
      </c>
      <c r="D78" s="179">
        <f>'Os juros sobre juros'!$E$46</f>
        <v>331.89250191718025</v>
      </c>
      <c r="E78" s="179">
        <f>C78*'Os juros sobre juros'!$E$32</f>
        <v>205.37631227969439</v>
      </c>
      <c r="F78" s="179">
        <f t="shared" ref="F78:F108" si="4">D78-E78</f>
        <v>126.51618963748587</v>
      </c>
      <c r="G78" s="179">
        <f t="shared" ref="G78:G108" si="5">C78-F78</f>
        <v>6372.7341989604374</v>
      </c>
    </row>
    <row r="79" spans="1:7" s="43" customFormat="1" ht="15.95" customHeight="1" x14ac:dyDescent="0.25">
      <c r="B79" s="142">
        <f t="shared" si="2"/>
        <v>7</v>
      </c>
      <c r="C79" s="179">
        <f t="shared" si="3"/>
        <v>6372.7341989604374</v>
      </c>
      <c r="D79" s="179">
        <f>'Os juros sobre juros'!$E$46</f>
        <v>331.89250191718025</v>
      </c>
      <c r="E79" s="179">
        <f>C79*'Os juros sobre juros'!$E$32</f>
        <v>201.37840068714985</v>
      </c>
      <c r="F79" s="179">
        <f t="shared" si="4"/>
        <v>130.51410123003041</v>
      </c>
      <c r="G79" s="179">
        <f t="shared" si="5"/>
        <v>6242.2200977304074</v>
      </c>
    </row>
    <row r="80" spans="1:7" s="43" customFormat="1" ht="15.95" customHeight="1" x14ac:dyDescent="0.25">
      <c r="B80" s="142">
        <f t="shared" si="2"/>
        <v>8</v>
      </c>
      <c r="C80" s="179">
        <f t="shared" si="3"/>
        <v>6242.2200977304074</v>
      </c>
      <c r="D80" s="179">
        <f>'Os juros sobre juros'!$E$46</f>
        <v>331.89250191718025</v>
      </c>
      <c r="E80" s="179">
        <f>C80*'Os juros sobre juros'!$E$32</f>
        <v>197.2541550882809</v>
      </c>
      <c r="F80" s="179">
        <f t="shared" si="4"/>
        <v>134.63834682889936</v>
      </c>
      <c r="G80" s="179">
        <f t="shared" si="5"/>
        <v>6107.5817509015078</v>
      </c>
    </row>
    <row r="81" spans="2:7" s="43" customFormat="1" ht="15.95" customHeight="1" x14ac:dyDescent="0.25">
      <c r="B81" s="142">
        <f t="shared" si="2"/>
        <v>9</v>
      </c>
      <c r="C81" s="179">
        <f t="shared" si="3"/>
        <v>6107.5817509015078</v>
      </c>
      <c r="D81" s="179">
        <f>'Os juros sobre juros'!$E$46</f>
        <v>331.89250191718025</v>
      </c>
      <c r="E81" s="179">
        <f>C81*'Os juros sobre juros'!$E$32</f>
        <v>192.99958332848766</v>
      </c>
      <c r="F81" s="179">
        <f t="shared" si="4"/>
        <v>138.89291858869259</v>
      </c>
      <c r="G81" s="179">
        <f t="shared" si="5"/>
        <v>5968.6888323128151</v>
      </c>
    </row>
    <row r="82" spans="2:7" s="43" customFormat="1" ht="15.95" customHeight="1" x14ac:dyDescent="0.25">
      <c r="B82" s="142">
        <f t="shared" si="2"/>
        <v>10</v>
      </c>
      <c r="C82" s="179">
        <f t="shared" si="3"/>
        <v>5968.6888323128151</v>
      </c>
      <c r="D82" s="179">
        <f>'Os juros sobre juros'!$E$46</f>
        <v>331.89250191718025</v>
      </c>
      <c r="E82" s="179">
        <f>C82*'Os juros sobre juros'!$E$32</f>
        <v>188.61056710108497</v>
      </c>
      <c r="F82" s="179">
        <f t="shared" si="4"/>
        <v>143.28193481609529</v>
      </c>
      <c r="G82" s="179">
        <f t="shared" si="5"/>
        <v>5825.4068974967195</v>
      </c>
    </row>
    <row r="83" spans="2:7" s="43" customFormat="1" ht="15.95" customHeight="1" x14ac:dyDescent="0.25">
      <c r="B83" s="142">
        <f t="shared" si="2"/>
        <v>11</v>
      </c>
      <c r="C83" s="179">
        <f t="shared" si="3"/>
        <v>5825.4068974967195</v>
      </c>
      <c r="D83" s="179">
        <f>'Os juros sobre juros'!$E$46</f>
        <v>331.89250191718025</v>
      </c>
      <c r="E83" s="179">
        <f>C83*'Os juros sobre juros'!$E$32</f>
        <v>184.08285796089635</v>
      </c>
      <c r="F83" s="179">
        <f t="shared" si="4"/>
        <v>147.80964395628391</v>
      </c>
      <c r="G83" s="179">
        <f t="shared" si="5"/>
        <v>5677.5972535404353</v>
      </c>
    </row>
    <row r="84" spans="2:7" s="43" customFormat="1" ht="15.95" customHeight="1" x14ac:dyDescent="0.25">
      <c r="B84" s="142">
        <f t="shared" si="2"/>
        <v>12</v>
      </c>
      <c r="C84" s="179">
        <f t="shared" si="3"/>
        <v>5677.5972535404353</v>
      </c>
      <c r="D84" s="179">
        <f>'Os juros sobre juros'!$E$46</f>
        <v>331.89250191718025</v>
      </c>
      <c r="E84" s="179">
        <f>C84*'Os juros sobre juros'!$E$32</f>
        <v>179.41207321187778</v>
      </c>
      <c r="F84" s="179">
        <f t="shared" si="4"/>
        <v>152.48042870530247</v>
      </c>
      <c r="G84" s="179">
        <f t="shared" si="5"/>
        <v>5525.1168248351332</v>
      </c>
    </row>
    <row r="85" spans="2:7" s="43" customFormat="1" ht="15.95" customHeight="1" x14ac:dyDescent="0.25">
      <c r="B85" s="142">
        <f t="shared" si="2"/>
        <v>13</v>
      </c>
      <c r="C85" s="179">
        <f t="shared" si="3"/>
        <v>5525.1168248351332</v>
      </c>
      <c r="D85" s="179">
        <f>'Os juros sobre juros'!$E$46</f>
        <v>331.89250191718025</v>
      </c>
      <c r="E85" s="179">
        <f>C85*'Os juros sobre juros'!$E$32</f>
        <v>174.59369166479021</v>
      </c>
      <c r="F85" s="179">
        <f t="shared" si="4"/>
        <v>157.29881025239004</v>
      </c>
      <c r="G85" s="179">
        <f t="shared" si="5"/>
        <v>5367.8180145827428</v>
      </c>
    </row>
    <row r="86" spans="2:7" s="43" customFormat="1" ht="15.95" customHeight="1" x14ac:dyDescent="0.25">
      <c r="B86" s="142">
        <f t="shared" si="2"/>
        <v>14</v>
      </c>
      <c r="C86" s="179">
        <f t="shared" si="3"/>
        <v>5367.8180145827428</v>
      </c>
      <c r="D86" s="179">
        <f>'Os juros sobre juros'!$E$46</f>
        <v>331.89250191718025</v>
      </c>
      <c r="E86" s="179">
        <f>C86*'Os juros sobre juros'!$E$32</f>
        <v>169.6230492608147</v>
      </c>
      <c r="F86" s="179">
        <f t="shared" si="4"/>
        <v>162.26945265636556</v>
      </c>
      <c r="G86" s="179">
        <f t="shared" si="5"/>
        <v>5205.5485619263773</v>
      </c>
    </row>
    <row r="87" spans="2:7" s="43" customFormat="1" ht="15.95" customHeight="1" x14ac:dyDescent="0.25">
      <c r="B87" s="142">
        <f t="shared" si="2"/>
        <v>15</v>
      </c>
      <c r="C87" s="179">
        <f t="shared" si="3"/>
        <v>5205.5485619263773</v>
      </c>
      <c r="D87" s="179">
        <f>'Os juros sobre juros'!$E$46</f>
        <v>331.89250191718025</v>
      </c>
      <c r="E87" s="179">
        <f>C87*'Os juros sobre juros'!$E$32</f>
        <v>164.49533455687353</v>
      </c>
      <c r="F87" s="179">
        <f t="shared" si="4"/>
        <v>167.39716736030672</v>
      </c>
      <c r="G87" s="179">
        <f t="shared" si="5"/>
        <v>5038.1513945660708</v>
      </c>
    </row>
    <row r="88" spans="2:7" s="43" customFormat="1" ht="15.95" customHeight="1" x14ac:dyDescent="0.25">
      <c r="B88" s="142">
        <f t="shared" si="2"/>
        <v>16</v>
      </c>
      <c r="C88" s="179">
        <f t="shared" si="3"/>
        <v>5038.1513945660708</v>
      </c>
      <c r="D88" s="179">
        <f>'Os juros sobre juros'!$E$46</f>
        <v>331.89250191718025</v>
      </c>
      <c r="E88" s="179">
        <f>C88*'Os juros sobre juros'!$E$32</f>
        <v>159.20558406828786</v>
      </c>
      <c r="F88" s="179">
        <f t="shared" si="4"/>
        <v>172.68691784889239</v>
      </c>
      <c r="G88" s="179">
        <f t="shared" si="5"/>
        <v>4865.4644767171785</v>
      </c>
    </row>
    <row r="89" spans="2:7" s="43" customFormat="1" ht="15.95" customHeight="1" x14ac:dyDescent="0.25">
      <c r="B89" s="142">
        <f t="shared" si="2"/>
        <v>17</v>
      </c>
      <c r="C89" s="179">
        <f t="shared" si="3"/>
        <v>4865.4644767171785</v>
      </c>
      <c r="D89" s="179">
        <f>'Os juros sobre juros'!$E$46</f>
        <v>331.89250191718025</v>
      </c>
      <c r="E89" s="179">
        <f>C89*'Os juros sobre juros'!$E$32</f>
        <v>153.74867746426287</v>
      </c>
      <c r="F89" s="179">
        <f t="shared" si="4"/>
        <v>178.14382445291739</v>
      </c>
      <c r="G89" s="179">
        <f t="shared" si="5"/>
        <v>4687.3206522642613</v>
      </c>
    </row>
    <row r="90" spans="2:7" s="43" customFormat="1" ht="15.95" customHeight="1" x14ac:dyDescent="0.25">
      <c r="B90" s="142">
        <f t="shared" si="2"/>
        <v>18</v>
      </c>
      <c r="C90" s="179">
        <f t="shared" si="3"/>
        <v>4687.3206522642613</v>
      </c>
      <c r="D90" s="179">
        <f>'Os juros sobre juros'!$E$46</f>
        <v>331.89250191718025</v>
      </c>
      <c r="E90" s="179">
        <f>C90*'Os juros sobre juros'!$E$32</f>
        <v>148.11933261155067</v>
      </c>
      <c r="F90" s="179">
        <f t="shared" si="4"/>
        <v>183.77316930562958</v>
      </c>
      <c r="G90" s="179">
        <f t="shared" si="5"/>
        <v>4503.5474829586319</v>
      </c>
    </row>
    <row r="91" spans="2:7" s="43" customFormat="1" ht="15.95" customHeight="1" x14ac:dyDescent="0.25">
      <c r="B91" s="142">
        <f t="shared" si="2"/>
        <v>19</v>
      </c>
      <c r="C91" s="179">
        <f t="shared" si="3"/>
        <v>4503.5474829586319</v>
      </c>
      <c r="D91" s="179">
        <f>'Os juros sobre juros'!$E$46</f>
        <v>331.89250191718025</v>
      </c>
      <c r="E91" s="179">
        <f>C91*'Os juros sobre juros'!$E$32</f>
        <v>142.31210046149278</v>
      </c>
      <c r="F91" s="179">
        <f t="shared" si="4"/>
        <v>189.58040145568748</v>
      </c>
      <c r="G91" s="179">
        <f t="shared" si="5"/>
        <v>4313.967081502944</v>
      </c>
    </row>
    <row r="92" spans="2:7" s="43" customFormat="1" ht="15.95" customHeight="1" x14ac:dyDescent="0.25">
      <c r="B92" s="142">
        <f t="shared" si="2"/>
        <v>20</v>
      </c>
      <c r="C92" s="179">
        <f t="shared" si="3"/>
        <v>4313.967081502944</v>
      </c>
      <c r="D92" s="179">
        <f>'Os juros sobre juros'!$E$46</f>
        <v>331.89250191718025</v>
      </c>
      <c r="E92" s="179">
        <f>C92*'Os juros sobre juros'!$E$32</f>
        <v>136.32135977549305</v>
      </c>
      <c r="F92" s="179">
        <f t="shared" si="4"/>
        <v>195.5711421416872</v>
      </c>
      <c r="G92" s="179">
        <f t="shared" si="5"/>
        <v>4118.3959393612568</v>
      </c>
    </row>
    <row r="93" spans="2:7" s="43" customFormat="1" ht="15.95" customHeight="1" x14ac:dyDescent="0.25">
      <c r="B93" s="142">
        <f t="shared" si="2"/>
        <v>21</v>
      </c>
      <c r="C93" s="179">
        <f t="shared" si="3"/>
        <v>4118.3959393612568</v>
      </c>
      <c r="D93" s="179">
        <f>'Os juros sobre juros'!$E$46</f>
        <v>331.89250191718025</v>
      </c>
      <c r="E93" s="179">
        <f>C93*'Os juros sobre juros'!$E$32</f>
        <v>130.14131168381573</v>
      </c>
      <c r="F93" s="179">
        <f t="shared" si="4"/>
        <v>201.75119023336453</v>
      </c>
      <c r="G93" s="179">
        <f t="shared" si="5"/>
        <v>3916.6447491278923</v>
      </c>
    </row>
    <row r="94" spans="2:7" s="43" customFormat="1" ht="15.95" customHeight="1" x14ac:dyDescent="0.25">
      <c r="B94" s="142">
        <f t="shared" si="2"/>
        <v>22</v>
      </c>
      <c r="C94" s="179">
        <f t="shared" si="3"/>
        <v>3916.6447491278923</v>
      </c>
      <c r="D94" s="179">
        <f>'Os juros sobre juros'!$E$46</f>
        <v>331.89250191718025</v>
      </c>
      <c r="E94" s="179">
        <f>C94*'Os juros sobre juros'!$E$32</f>
        <v>123.76597407244141</v>
      </c>
      <c r="F94" s="179">
        <f t="shared" si="4"/>
        <v>208.12652784473886</v>
      </c>
      <c r="G94" s="179">
        <f t="shared" si="5"/>
        <v>3708.5182212831533</v>
      </c>
    </row>
    <row r="95" spans="2:7" s="43" customFormat="1" ht="15.95" customHeight="1" x14ac:dyDescent="0.25">
      <c r="B95" s="142">
        <f t="shared" si="2"/>
        <v>23</v>
      </c>
      <c r="C95" s="179">
        <f t="shared" si="3"/>
        <v>3708.5182212831533</v>
      </c>
      <c r="D95" s="179">
        <f>'Os juros sobre juros'!$E$46</f>
        <v>331.89250191718025</v>
      </c>
      <c r="E95" s="179">
        <f>C95*'Os juros sobre juros'!$E$32</f>
        <v>117.18917579254766</v>
      </c>
      <c r="F95" s="179">
        <f t="shared" si="4"/>
        <v>214.70332612463261</v>
      </c>
      <c r="G95" s="179">
        <f t="shared" si="5"/>
        <v>3493.8148951585208</v>
      </c>
    </row>
    <row r="96" spans="2:7" s="43" customFormat="1" ht="15.95" customHeight="1" x14ac:dyDescent="0.25">
      <c r="B96" s="142">
        <f t="shared" si="2"/>
        <v>24</v>
      </c>
      <c r="C96" s="179">
        <f t="shared" si="3"/>
        <v>3493.8148951585208</v>
      </c>
      <c r="D96" s="179">
        <f>'Os juros sobre juros'!$E$46</f>
        <v>331.89250191718025</v>
      </c>
      <c r="E96" s="179">
        <f>C96*'Os juros sobre juros'!$E$32</f>
        <v>110.40455068700926</v>
      </c>
      <c r="F96" s="179">
        <f t="shared" si="4"/>
        <v>221.48795123017101</v>
      </c>
      <c r="G96" s="179">
        <f t="shared" si="5"/>
        <v>3272.3269439283499</v>
      </c>
    </row>
    <row r="97" spans="2:11" s="43" customFormat="1" ht="15.95" customHeight="1" x14ac:dyDescent="0.25">
      <c r="B97" s="142">
        <f t="shared" si="2"/>
        <v>25</v>
      </c>
      <c r="C97" s="179">
        <f t="shared" si="3"/>
        <v>3272.3269439283499</v>
      </c>
      <c r="D97" s="179">
        <f>'Os juros sobre juros'!$E$46</f>
        <v>331.89250191718025</v>
      </c>
      <c r="E97" s="179">
        <f>C97*'Os juros sobre juros'!$E$32</f>
        <v>103.40553142813587</v>
      </c>
      <c r="F97" s="179">
        <f t="shared" si="4"/>
        <v>228.48697048904438</v>
      </c>
      <c r="G97" s="179">
        <f t="shared" si="5"/>
        <v>3043.8399734393056</v>
      </c>
    </row>
    <row r="98" spans="2:11" s="43" customFormat="1" ht="15.95" customHeight="1" x14ac:dyDescent="0.25">
      <c r="B98" s="142">
        <f t="shared" si="2"/>
        <v>26</v>
      </c>
      <c r="C98" s="179">
        <f t="shared" si="3"/>
        <v>3043.8399734393056</v>
      </c>
      <c r="D98" s="179">
        <f>'Os juros sobre juros'!$E$46</f>
        <v>331.89250191718025</v>
      </c>
      <c r="E98" s="179">
        <f>C98*'Os juros sobre juros'!$E$32</f>
        <v>96.185343160682066</v>
      </c>
      <c r="F98" s="179">
        <f t="shared" si="4"/>
        <v>235.70715875649819</v>
      </c>
      <c r="G98" s="179">
        <f t="shared" si="5"/>
        <v>2808.1328146828073</v>
      </c>
    </row>
    <row r="99" spans="2:11" s="43" customFormat="1" ht="15.95" customHeight="1" x14ac:dyDescent="0.25">
      <c r="B99" s="142">
        <f t="shared" si="2"/>
        <v>27</v>
      </c>
      <c r="C99" s="179">
        <f t="shared" si="3"/>
        <v>2808.1328146828073</v>
      </c>
      <c r="D99" s="179">
        <f>'Os juros sobre juros'!$E$46</f>
        <v>331.89250191718025</v>
      </c>
      <c r="E99" s="179">
        <f>C99*'Os juros sobre juros'!$E$32</f>
        <v>88.73699694397672</v>
      </c>
      <c r="F99" s="179">
        <f t="shared" si="4"/>
        <v>243.15550497320353</v>
      </c>
      <c r="G99" s="179">
        <f t="shared" si="5"/>
        <v>2564.9773097096036</v>
      </c>
    </row>
    <row r="100" spans="2:11" s="43" customFormat="1" ht="15.95" customHeight="1" x14ac:dyDescent="0.25">
      <c r="B100" s="142">
        <f t="shared" si="2"/>
        <v>28</v>
      </c>
      <c r="C100" s="179">
        <f t="shared" si="3"/>
        <v>2564.9773097096036</v>
      </c>
      <c r="D100" s="179">
        <f>'Os juros sobre juros'!$E$46</f>
        <v>331.89250191718025</v>
      </c>
      <c r="E100" s="179">
        <f>C100*'Os juros sobre juros'!$E$32</f>
        <v>81.053282986823476</v>
      </c>
      <c r="F100" s="179">
        <f t="shared" si="4"/>
        <v>250.83921893035676</v>
      </c>
      <c r="G100" s="179">
        <f t="shared" si="5"/>
        <v>2314.1380907792468</v>
      </c>
    </row>
    <row r="101" spans="2:11" s="43" customFormat="1" ht="15.95" customHeight="1" x14ac:dyDescent="0.25">
      <c r="B101" s="142">
        <f t="shared" si="2"/>
        <v>29</v>
      </c>
      <c r="C101" s="179">
        <f t="shared" si="3"/>
        <v>2314.1380907792468</v>
      </c>
      <c r="D101" s="179">
        <f>'Os juros sobre juros'!$E$46</f>
        <v>331.89250191718025</v>
      </c>
      <c r="E101" s="179">
        <f>C101*'Os juros sobre juros'!$E$32</f>
        <v>73.126763668624207</v>
      </c>
      <c r="F101" s="179">
        <f t="shared" si="4"/>
        <v>258.76573824855603</v>
      </c>
      <c r="G101" s="179">
        <f t="shared" si="5"/>
        <v>2055.3723525306909</v>
      </c>
    </row>
    <row r="102" spans="2:11" s="43" customFormat="1" ht="15.95" customHeight="1" x14ac:dyDescent="0.25">
      <c r="B102" s="142">
        <f t="shared" si="2"/>
        <v>30</v>
      </c>
      <c r="C102" s="179">
        <f t="shared" si="3"/>
        <v>2055.3723525306909</v>
      </c>
      <c r="D102" s="179">
        <f>'Os juros sobre juros'!$E$46</f>
        <v>331.89250191718025</v>
      </c>
      <c r="E102" s="179">
        <f>C102*'Os juros sobre juros'!$E$32</f>
        <v>64.949766339969841</v>
      </c>
      <c r="F102" s="179">
        <f t="shared" si="4"/>
        <v>266.94273557721044</v>
      </c>
      <c r="G102" s="179">
        <f t="shared" si="5"/>
        <v>1788.4296169534805</v>
      </c>
    </row>
    <row r="103" spans="2:11" s="43" customFormat="1" ht="15.95" customHeight="1" x14ac:dyDescent="0.25">
      <c r="B103" s="142">
        <f t="shared" si="2"/>
        <v>31</v>
      </c>
      <c r="C103" s="179">
        <f t="shared" si="3"/>
        <v>1788.4296169534805</v>
      </c>
      <c r="D103" s="179">
        <f>'Os juros sobre juros'!$E$46</f>
        <v>331.89250191718025</v>
      </c>
      <c r="E103" s="179">
        <f>C103*'Os juros sobre juros'!$E$32</f>
        <v>56.514375895729991</v>
      </c>
      <c r="F103" s="179">
        <f t="shared" si="4"/>
        <v>275.37812602145027</v>
      </c>
      <c r="G103" s="179">
        <f t="shared" si="5"/>
        <v>1513.0514909320302</v>
      </c>
    </row>
    <row r="104" spans="2:11" s="43" customFormat="1" ht="15.95" customHeight="1" x14ac:dyDescent="0.25">
      <c r="B104" s="142">
        <f t="shared" si="2"/>
        <v>32</v>
      </c>
      <c r="C104" s="179">
        <f t="shared" si="3"/>
        <v>1513.0514909320302</v>
      </c>
      <c r="D104" s="179">
        <f>'Os juros sobre juros'!$E$46</f>
        <v>331.89250191718025</v>
      </c>
      <c r="E104" s="179">
        <f>C104*'Os juros sobre juros'!$E$32</f>
        <v>47.812427113452159</v>
      </c>
      <c r="F104" s="179">
        <f t="shared" si="4"/>
        <v>284.08007480372811</v>
      </c>
      <c r="G104" s="179">
        <f t="shared" si="5"/>
        <v>1228.9714161283021</v>
      </c>
    </row>
    <row r="105" spans="2:11" s="43" customFormat="1" ht="15.95" customHeight="1" x14ac:dyDescent="0.25">
      <c r="B105" s="142">
        <f t="shared" si="2"/>
        <v>33</v>
      </c>
      <c r="C105" s="179">
        <f t="shared" si="3"/>
        <v>1228.9714161283021</v>
      </c>
      <c r="D105" s="179">
        <f>'Os juros sobre juros'!$E$46</f>
        <v>331.89250191718025</v>
      </c>
      <c r="E105" s="179">
        <f>C105*'Os juros sobre juros'!$E$32</f>
        <v>38.835496749654347</v>
      </c>
      <c r="F105" s="179">
        <f t="shared" si="4"/>
        <v>293.05700516752592</v>
      </c>
      <c r="G105" s="179">
        <f t="shared" si="5"/>
        <v>935.91441096077619</v>
      </c>
    </row>
    <row r="106" spans="2:11" s="43" customFormat="1" ht="15.95" customHeight="1" x14ac:dyDescent="0.25">
      <c r="B106" s="142">
        <f t="shared" si="2"/>
        <v>34</v>
      </c>
      <c r="C106" s="179">
        <f t="shared" si="3"/>
        <v>935.91441096077619</v>
      </c>
      <c r="D106" s="179">
        <f>'Os juros sobre juros'!$E$46</f>
        <v>331.89250191718025</v>
      </c>
      <c r="E106" s="179">
        <f>C106*'Os juros sobre juros'!$E$32</f>
        <v>29.574895386360531</v>
      </c>
      <c r="F106" s="179">
        <f t="shared" si="4"/>
        <v>302.31760653081972</v>
      </c>
      <c r="G106" s="179">
        <f t="shared" si="5"/>
        <v>633.59680442995648</v>
      </c>
    </row>
    <row r="107" spans="2:11" s="43" customFormat="1" ht="15.95" customHeight="1" x14ac:dyDescent="0.25">
      <c r="B107" s="142">
        <f t="shared" si="2"/>
        <v>35</v>
      </c>
      <c r="C107" s="179">
        <f t="shared" si="3"/>
        <v>633.59680442995648</v>
      </c>
      <c r="D107" s="179">
        <f>'Os juros sobre juros'!$E$46</f>
        <v>331.89250191718025</v>
      </c>
      <c r="E107" s="179">
        <f>C107*'Os juros sobre juros'!$E$32</f>
        <v>20.021659019986625</v>
      </c>
      <c r="F107" s="179">
        <f t="shared" si="4"/>
        <v>311.87084289719365</v>
      </c>
      <c r="G107" s="179">
        <f t="shared" si="5"/>
        <v>321.72596153276282</v>
      </c>
    </row>
    <row r="108" spans="2:11" s="95" customFormat="1" ht="15.95" customHeight="1" x14ac:dyDescent="0.25">
      <c r="B108" s="291">
        <f t="shared" si="2"/>
        <v>36</v>
      </c>
      <c r="C108" s="296">
        <f t="shared" si="3"/>
        <v>321.72596153276282</v>
      </c>
      <c r="D108" s="296">
        <f>'Os juros sobre juros'!$E$46</f>
        <v>331.89250191718025</v>
      </c>
      <c r="E108" s="296">
        <f>C108*'Os juros sobre juros'!$E$32</f>
        <v>10.166540384435306</v>
      </c>
      <c r="F108" s="296">
        <f t="shared" si="4"/>
        <v>321.72596153274498</v>
      </c>
      <c r="G108" s="296">
        <f t="shared" si="5"/>
        <v>1.7848833522293717E-11</v>
      </c>
    </row>
    <row r="109" spans="2:11" s="95" customFormat="1" ht="15.95" customHeight="1" x14ac:dyDescent="0.25">
      <c r="B109" s="292"/>
      <c r="C109" s="293" t="s">
        <v>123</v>
      </c>
      <c r="D109" s="297">
        <f ca="1">SUM(D73:INDIRECT(ADDRESS(ROW($D$109)-1,4)))</f>
        <v>11948.130069018489</v>
      </c>
      <c r="E109" s="297">
        <f ca="1">SUM(E73:INDIRECT(ADDRESS(ROW($E$109)-1,5)))</f>
        <v>4872.1100690185067</v>
      </c>
      <c r="F109" s="297">
        <f ca="1">SUM(F73:INDIRECT(ADDRESS(ROW($F$109)-1,6)))</f>
        <v>7076.0199999999822</v>
      </c>
      <c r="G109" s="293"/>
    </row>
    <row r="110" spans="2:11" s="43" customFormat="1" ht="15.95" customHeight="1" x14ac:dyDescent="0.25">
      <c r="B110" s="47"/>
      <c r="C110" s="166"/>
      <c r="D110" s="680" t="str">
        <f ca="1">IF(OR(($D$109-$C$122)&gt;0.01,($D$109-$C$122)&lt;-0.01,($E$109-$D$122)&gt;0.01,($E$109-$D$122)&lt;-0.01,($F$109-$E$122)&gt;0.01,($F$109-$E$122)&lt;-0.01),"FALTA ATUALIZAR A TABELA 16","")</f>
        <v/>
      </c>
      <c r="E110" s="681"/>
      <c r="F110" s="682"/>
      <c r="G110" s="166"/>
      <c r="I110" s="294" t="s">
        <v>483</v>
      </c>
      <c r="K110" s="295"/>
    </row>
    <row r="111" spans="2:11" s="43" customFormat="1" ht="20.100000000000001" customHeight="1" x14ac:dyDescent="0.25">
      <c r="B111" s="47"/>
      <c r="C111" s="166"/>
      <c r="D111" s="606" t="s">
        <v>124</v>
      </c>
      <c r="E111" s="606"/>
      <c r="F111" s="606"/>
      <c r="G111" s="166"/>
    </row>
    <row r="112" spans="2:11" s="43" customFormat="1" ht="20.100000000000001" customHeight="1" x14ac:dyDescent="0.25">
      <c r="B112" s="47"/>
      <c r="C112" s="166"/>
      <c r="D112" s="281" t="s">
        <v>18</v>
      </c>
      <c r="E112" s="281" t="s">
        <v>38</v>
      </c>
      <c r="F112" s="281" t="s">
        <v>24</v>
      </c>
      <c r="G112" s="166"/>
    </row>
    <row r="113" spans="2:9" s="43" customFormat="1" ht="15.95" customHeight="1" x14ac:dyDescent="0.25">
      <c r="B113" s="47"/>
      <c r="C113" s="166"/>
      <c r="D113" s="290">
        <f ca="1">D109</f>
        <v>11948.130069018489</v>
      </c>
      <c r="E113" s="290">
        <f ca="1">E109</f>
        <v>4872.1100690185067</v>
      </c>
      <c r="F113" s="290">
        <f ca="1">F109</f>
        <v>7076.0199999999822</v>
      </c>
      <c r="G113" s="166"/>
    </row>
    <row r="114" spans="2:9" s="43" customFormat="1" ht="15.95" customHeight="1" thickBot="1" x14ac:dyDescent="0.3">
      <c r="B114" s="47"/>
      <c r="C114" s="166"/>
      <c r="D114" s="298"/>
      <c r="E114" s="298"/>
      <c r="F114" s="298"/>
      <c r="G114" s="166"/>
    </row>
    <row r="115" spans="2:9" s="43" customFormat="1" ht="24.95" customHeight="1" x14ac:dyDescent="0.25">
      <c r="C115" s="299" t="s">
        <v>138</v>
      </c>
      <c r="D115" s="300"/>
      <c r="E115" s="300"/>
      <c r="F115" s="301"/>
      <c r="G115" s="301"/>
      <c r="H115" s="302"/>
    </row>
    <row r="116" spans="2:9" s="43" customFormat="1" ht="15.95" customHeight="1" x14ac:dyDescent="0.25">
      <c r="C116" s="303" t="s">
        <v>194</v>
      </c>
      <c r="D116" s="67"/>
      <c r="E116" s="67"/>
      <c r="F116" s="47"/>
      <c r="G116" s="47"/>
      <c r="H116" s="64"/>
      <c r="I116" s="43" t="s">
        <v>139</v>
      </c>
    </row>
    <row r="117" spans="2:9" s="43" customFormat="1" ht="15.95" customHeight="1" x14ac:dyDescent="0.25">
      <c r="C117" s="303" t="s">
        <v>332</v>
      </c>
      <c r="D117" s="67"/>
      <c r="E117" s="67"/>
      <c r="F117" s="47"/>
      <c r="G117" s="47"/>
      <c r="H117" s="64"/>
    </row>
    <row r="118" spans="2:9" s="43" customFormat="1" ht="15.95" customHeight="1" x14ac:dyDescent="0.25">
      <c r="C118" s="303" t="s">
        <v>331</v>
      </c>
      <c r="D118" s="67"/>
      <c r="E118" s="67"/>
      <c r="F118" s="47"/>
      <c r="G118" s="47"/>
      <c r="H118" s="64"/>
    </row>
    <row r="119" spans="2:9" s="43" customFormat="1" ht="15.95" customHeight="1" x14ac:dyDescent="0.25">
      <c r="C119" s="303"/>
      <c r="D119" s="67"/>
      <c r="E119" s="67"/>
      <c r="F119" s="47"/>
      <c r="G119" s="47"/>
      <c r="H119" s="64"/>
    </row>
    <row r="120" spans="2:9" s="43" customFormat="1" ht="24.95" customHeight="1" x14ac:dyDescent="0.25">
      <c r="C120" s="392" t="s">
        <v>133</v>
      </c>
      <c r="D120" s="67"/>
      <c r="E120" s="67"/>
      <c r="F120" s="47"/>
      <c r="G120" s="47"/>
      <c r="H120" s="64"/>
    </row>
    <row r="121" spans="2:9" ht="20.100000000000001" customHeight="1" x14ac:dyDescent="0.25">
      <c r="C121" s="68" t="s">
        <v>18</v>
      </c>
      <c r="D121" s="69" t="s">
        <v>38</v>
      </c>
      <c r="E121" s="69" t="s">
        <v>24</v>
      </c>
      <c r="F121" s="2"/>
      <c r="G121" s="2"/>
      <c r="H121" s="63"/>
    </row>
    <row r="122" spans="2:9" ht="15.95" customHeight="1" thickBot="1" x14ac:dyDescent="0.3">
      <c r="C122" s="70">
        <f>'Os juros sobre juros'!$C$90</f>
        <v>11948.130069018489</v>
      </c>
      <c r="D122" s="71">
        <f>'Os juros sobre juros'!$E$90</f>
        <v>4872.1100690184885</v>
      </c>
      <c r="E122" s="71">
        <f>'Os juros sobre juros'!$D$90</f>
        <v>7076.02</v>
      </c>
      <c r="F122" s="65"/>
      <c r="G122" s="65"/>
      <c r="H122" s="66"/>
    </row>
    <row r="123" spans="2:9" s="38" customFormat="1" ht="15.95" customHeight="1" x14ac:dyDescent="0.25">
      <c r="B123" s="40"/>
      <c r="C123" s="152"/>
      <c r="D123" s="155"/>
      <c r="E123" s="155"/>
      <c r="F123" s="155"/>
      <c r="G123" s="152"/>
    </row>
    <row r="124" spans="2:9" s="43" customFormat="1" ht="15.95" customHeight="1" x14ac:dyDescent="0.25">
      <c r="B124" s="43" t="s">
        <v>396</v>
      </c>
    </row>
    <row r="125" spans="2:9" ht="15.95" customHeight="1" x14ac:dyDescent="0.25"/>
    <row r="126" spans="2:9" s="274" customFormat="1" ht="24.95" customHeight="1" x14ac:dyDescent="0.25">
      <c r="B126" s="384" t="s">
        <v>402</v>
      </c>
    </row>
    <row r="127" spans="2:9" s="38" customFormat="1" ht="15.95" customHeight="1" x14ac:dyDescent="0.25">
      <c r="B127" s="40" t="s">
        <v>403</v>
      </c>
      <c r="C127" s="152"/>
      <c r="D127" s="155"/>
      <c r="E127" s="155"/>
      <c r="F127" s="155"/>
      <c r="G127" s="152"/>
    </row>
    <row r="128" spans="2:9" s="38" customFormat="1" ht="15.95" customHeight="1" x14ac:dyDescent="0.25">
      <c r="B128" s="40" t="s">
        <v>447</v>
      </c>
      <c r="C128" s="152"/>
      <c r="D128" s="155"/>
      <c r="E128" s="155"/>
      <c r="F128" s="155"/>
      <c r="G128" s="152"/>
    </row>
    <row r="129" spans="2:7" s="38" customFormat="1" ht="15.95" customHeight="1" x14ac:dyDescent="0.25">
      <c r="C129" s="86" t="s">
        <v>448</v>
      </c>
      <c r="D129" s="155"/>
      <c r="E129" s="155"/>
      <c r="F129" s="155"/>
      <c r="G129" s="152"/>
    </row>
    <row r="130" spans="2:7" s="38" customFormat="1" ht="15.95" customHeight="1" x14ac:dyDescent="0.25">
      <c r="B130" s="40" t="s">
        <v>405</v>
      </c>
      <c r="C130" s="152"/>
      <c r="D130" s="155"/>
      <c r="E130" s="155"/>
      <c r="F130" s="155"/>
      <c r="G130" s="152"/>
    </row>
    <row r="131" spans="2:7" s="38" customFormat="1" ht="15.95" customHeight="1" x14ac:dyDescent="0.25">
      <c r="B131" s="40" t="s">
        <v>314</v>
      </c>
      <c r="C131" s="152"/>
      <c r="D131" s="155"/>
      <c r="E131" s="155"/>
      <c r="F131" s="155"/>
      <c r="G131" s="152"/>
    </row>
    <row r="132" spans="2:7" s="38" customFormat="1" ht="15.95" customHeight="1" x14ac:dyDescent="0.25">
      <c r="B132" s="86" t="s">
        <v>406</v>
      </c>
      <c r="C132" s="152"/>
      <c r="D132" s="155"/>
      <c r="E132" s="155"/>
      <c r="F132" s="155"/>
      <c r="G132" s="152"/>
    </row>
    <row r="133" spans="2:7" s="38" customFormat="1" ht="15.95" customHeight="1" x14ac:dyDescent="0.25">
      <c r="B133" s="86" t="s">
        <v>404</v>
      </c>
      <c r="C133" s="152"/>
      <c r="D133" s="155"/>
      <c r="E133" s="155"/>
      <c r="F133" s="155"/>
      <c r="G133" s="152"/>
    </row>
    <row r="134" spans="2:7" s="38" customFormat="1" ht="15.95" customHeight="1" x14ac:dyDescent="0.25">
      <c r="B134" s="86" t="s">
        <v>407</v>
      </c>
      <c r="C134" s="152"/>
      <c r="D134" s="155"/>
      <c r="E134" s="155"/>
      <c r="F134" s="155"/>
      <c r="G134" s="152"/>
    </row>
    <row r="135" spans="2:7" s="12" customFormat="1" x14ac:dyDescent="0.25">
      <c r="B135" s="343"/>
      <c r="C135" s="344"/>
      <c r="D135" s="345"/>
      <c r="E135" s="345"/>
      <c r="F135" s="345"/>
      <c r="G135" s="344"/>
    </row>
    <row r="136" spans="2:7" s="12" customFormat="1" ht="24.95" customHeight="1" x14ac:dyDescent="0.25">
      <c r="B136" s="384" t="s">
        <v>697</v>
      </c>
      <c r="C136" s="344"/>
      <c r="D136" s="345"/>
      <c r="E136" s="345"/>
      <c r="F136" s="345"/>
      <c r="G136" s="344"/>
    </row>
    <row r="137" spans="2:7" s="12" customFormat="1" x14ac:dyDescent="0.25">
      <c r="B137" s="343" t="s">
        <v>879</v>
      </c>
      <c r="C137" s="344"/>
      <c r="D137" s="345"/>
      <c r="E137" s="345"/>
      <c r="F137" s="345"/>
      <c r="G137" s="344"/>
    </row>
    <row r="138" spans="2:7" s="12" customFormat="1" x14ac:dyDescent="0.25">
      <c r="B138" s="343" t="s">
        <v>880</v>
      </c>
      <c r="C138" s="344"/>
      <c r="D138" s="345"/>
      <c r="E138" s="345"/>
      <c r="F138" s="345"/>
      <c r="G138" s="344"/>
    </row>
    <row r="139" spans="2:7" s="12" customFormat="1" x14ac:dyDescent="0.25">
      <c r="B139" s="343" t="s">
        <v>698</v>
      </c>
      <c r="C139" s="344"/>
      <c r="D139" s="345"/>
      <c r="E139" s="345"/>
      <c r="F139" s="345"/>
      <c r="G139" s="344"/>
    </row>
    <row r="140" spans="2:7" s="12" customFormat="1" x14ac:dyDescent="0.25">
      <c r="B140" s="343" t="s">
        <v>703</v>
      </c>
      <c r="C140" s="344"/>
      <c r="D140" s="345"/>
      <c r="E140" s="345"/>
      <c r="F140" s="345"/>
      <c r="G140" s="344"/>
    </row>
    <row r="141" spans="2:7" s="12" customFormat="1" x14ac:dyDescent="0.25">
      <c r="B141" s="343" t="s">
        <v>700</v>
      </c>
      <c r="C141" s="344"/>
      <c r="D141" s="345"/>
      <c r="E141" s="345"/>
      <c r="F141" s="345"/>
      <c r="G141" s="344"/>
    </row>
    <row r="142" spans="2:7" s="12" customFormat="1" x14ac:dyDescent="0.25">
      <c r="B142" s="343" t="s">
        <v>701</v>
      </c>
      <c r="C142" s="344"/>
      <c r="D142" s="345"/>
      <c r="E142" s="345"/>
      <c r="F142" s="345"/>
      <c r="G142" s="344"/>
    </row>
    <row r="143" spans="2:7" s="12" customFormat="1" x14ac:dyDescent="0.25">
      <c r="B143" s="343" t="s">
        <v>410</v>
      </c>
      <c r="C143" s="344"/>
      <c r="D143" s="345"/>
      <c r="E143" s="345"/>
      <c r="F143" s="345"/>
      <c r="G143" s="344"/>
    </row>
    <row r="144" spans="2:7" s="12" customFormat="1" x14ac:dyDescent="0.25">
      <c r="B144" s="343" t="s">
        <v>411</v>
      </c>
      <c r="C144" s="344"/>
      <c r="D144" s="345"/>
      <c r="E144" s="345"/>
      <c r="F144" s="345"/>
      <c r="G144" s="344"/>
    </row>
    <row r="145" spans="1:7" s="12" customFormat="1" x14ac:dyDescent="0.25">
      <c r="B145" s="343" t="s">
        <v>408</v>
      </c>
      <c r="C145" s="344"/>
      <c r="D145" s="345"/>
      <c r="E145" s="345"/>
      <c r="F145" s="345"/>
      <c r="G145" s="344"/>
    </row>
    <row r="146" spans="1:7" s="12" customFormat="1" x14ac:dyDescent="0.25">
      <c r="B146" s="343" t="s">
        <v>412</v>
      </c>
      <c r="C146" s="344"/>
      <c r="D146" s="345"/>
      <c r="E146" s="345"/>
      <c r="F146" s="345"/>
      <c r="G146" s="344"/>
    </row>
    <row r="147" spans="1:7" s="12" customFormat="1" x14ac:dyDescent="0.25">
      <c r="B147" s="343" t="s">
        <v>413</v>
      </c>
      <c r="C147" s="344"/>
      <c r="D147" s="345"/>
      <c r="E147" s="345"/>
      <c r="F147" s="345"/>
      <c r="G147" s="344"/>
    </row>
    <row r="148" spans="1:7" s="12" customFormat="1" x14ac:dyDescent="0.25">
      <c r="B148" s="343" t="s">
        <v>702</v>
      </c>
      <c r="C148" s="344"/>
      <c r="D148" s="345"/>
      <c r="E148" s="345"/>
      <c r="F148" s="345"/>
      <c r="G148" s="344"/>
    </row>
    <row r="149" spans="1:7" s="12" customFormat="1" x14ac:dyDescent="0.25">
      <c r="B149" s="343" t="s">
        <v>409</v>
      </c>
      <c r="C149" s="344"/>
      <c r="D149" s="345"/>
      <c r="E149" s="345"/>
      <c r="F149" s="345"/>
      <c r="G149" s="344"/>
    </row>
    <row r="150" spans="1:7" s="12" customFormat="1" x14ac:dyDescent="0.25">
      <c r="B150" s="343" t="s">
        <v>414</v>
      </c>
      <c r="C150" s="344"/>
      <c r="D150" s="345"/>
      <c r="E150" s="345"/>
      <c r="F150" s="345"/>
      <c r="G150" s="344"/>
    </row>
    <row r="151" spans="1:7" s="12" customFormat="1" x14ac:dyDescent="0.25">
      <c r="B151" s="343" t="s">
        <v>415</v>
      </c>
      <c r="C151" s="344"/>
      <c r="D151" s="345"/>
      <c r="E151" s="345"/>
      <c r="F151" s="345"/>
      <c r="G151" s="344"/>
    </row>
    <row r="152" spans="1:7" s="38" customFormat="1" ht="15.95" customHeight="1" x14ac:dyDescent="0.25">
      <c r="B152" s="86" t="s">
        <v>716</v>
      </c>
      <c r="C152" s="152"/>
      <c r="D152" s="155"/>
      <c r="E152" s="155"/>
      <c r="F152" s="155"/>
      <c r="G152" s="152"/>
    </row>
    <row r="153" spans="1:7" s="38" customFormat="1" ht="15.95" customHeight="1" x14ac:dyDescent="0.25">
      <c r="B153" s="86" t="s">
        <v>517</v>
      </c>
      <c r="C153" s="152"/>
      <c r="D153" s="155"/>
      <c r="E153" s="155"/>
      <c r="F153" s="155"/>
      <c r="G153" s="152"/>
    </row>
    <row r="154" spans="1:7" s="43" customFormat="1" ht="15.95" customHeight="1" x14ac:dyDescent="0.25"/>
    <row r="155" spans="1:7" s="43" customFormat="1" ht="24.95" customHeight="1" x14ac:dyDescent="0.25">
      <c r="A155" s="378" t="s">
        <v>769</v>
      </c>
    </row>
    <row r="156" spans="1:7" s="43" customFormat="1" ht="15.95" customHeight="1" x14ac:dyDescent="0.25">
      <c r="B156" s="43" t="s">
        <v>940</v>
      </c>
    </row>
    <row r="157" spans="1:7" s="43" customFormat="1" ht="15.95" customHeight="1" x14ac:dyDescent="0.25">
      <c r="B157" s="43" t="s">
        <v>941</v>
      </c>
    </row>
    <row r="158" spans="1:7" s="43" customFormat="1" ht="15.95" customHeight="1" x14ac:dyDescent="0.25">
      <c r="B158" s="43" t="s">
        <v>916</v>
      </c>
    </row>
    <row r="159" spans="1:7" s="79" customFormat="1" ht="15.95" customHeight="1" x14ac:dyDescent="0.25"/>
    <row r="160" spans="1:7" s="43" customFormat="1" ht="15.95" customHeight="1" x14ac:dyDescent="0.25">
      <c r="B160" s="43" t="s">
        <v>917</v>
      </c>
    </row>
    <row r="161" spans="1:14" s="43" customFormat="1" ht="15.95" customHeight="1" x14ac:dyDescent="0.25">
      <c r="B161" s="43" t="s">
        <v>942</v>
      </c>
    </row>
    <row r="162" spans="1:14" s="43" customFormat="1" ht="15.95" customHeight="1" x14ac:dyDescent="0.25">
      <c r="B162" s="43" t="s">
        <v>943</v>
      </c>
    </row>
    <row r="163" spans="1:14" s="43" customFormat="1" ht="15.95" customHeight="1" x14ac:dyDescent="0.25">
      <c r="B163" s="43" t="s">
        <v>920</v>
      </c>
      <c r="H163" s="180"/>
    </row>
    <row r="164" spans="1:14" s="43" customFormat="1" ht="15.95" customHeight="1" x14ac:dyDescent="0.25">
      <c r="B164" s="43" t="s">
        <v>921</v>
      </c>
      <c r="H164" s="180"/>
    </row>
    <row r="165" spans="1:14" s="43" customFormat="1" ht="15.95" customHeight="1" x14ac:dyDescent="0.25">
      <c r="B165" s="43" t="s">
        <v>401</v>
      </c>
      <c r="N165" s="144"/>
    </row>
    <row r="166" spans="1:14" s="43" customFormat="1" ht="15.95" customHeight="1" x14ac:dyDescent="0.25">
      <c r="B166" s="43" t="s">
        <v>449</v>
      </c>
    </row>
    <row r="167" spans="1:14" s="43" customFormat="1" ht="15.95" customHeight="1" x14ac:dyDescent="0.25">
      <c r="B167" s="43" t="s">
        <v>650</v>
      </c>
    </row>
    <row r="168" spans="1:14" s="79" customFormat="1" ht="15.95" customHeight="1" x14ac:dyDescent="0.25"/>
    <row r="169" spans="1:14" s="38" customFormat="1" ht="24.95" customHeight="1" x14ac:dyDescent="0.25">
      <c r="C169" s="390" t="s">
        <v>133</v>
      </c>
    </row>
    <row r="170" spans="1:14" s="38" customFormat="1" ht="20.100000000000001" customHeight="1" x14ac:dyDescent="0.25">
      <c r="C170" s="458" t="s">
        <v>17</v>
      </c>
      <c r="D170" s="458" t="s">
        <v>18</v>
      </c>
      <c r="E170" s="458" t="s">
        <v>24</v>
      </c>
      <c r="F170" s="458" t="s">
        <v>299</v>
      </c>
    </row>
    <row r="171" spans="1:14" s="38" customFormat="1" ht="15.95" customHeight="1" x14ac:dyDescent="0.25">
      <c r="C171" s="459">
        <f>'Os juros sobre juros'!$E$46</f>
        <v>331.89250191718025</v>
      </c>
      <c r="D171" s="129">
        <f>'Os juros sobre juros'!$C$90</f>
        <v>11948.130069018489</v>
      </c>
      <c r="E171" s="129">
        <f>'Os juros sobre juros'!$E$31</f>
        <v>7076.02</v>
      </c>
      <c r="F171" s="129">
        <f>'Os juros sobre juros'!$E$90</f>
        <v>4872.1100690184885</v>
      </c>
    </row>
    <row r="172" spans="1:14" s="111" customFormat="1" ht="15.95" customHeight="1" x14ac:dyDescent="0.25">
      <c r="A172" s="44"/>
    </row>
    <row r="173" spans="1:14" s="43" customFormat="1" ht="15.95" customHeight="1" x14ac:dyDescent="0.25"/>
    <row r="174" spans="1:14" s="43" customFormat="1" ht="15.95" customHeight="1" x14ac:dyDescent="0.25"/>
    <row r="175" spans="1:14" s="43" customFormat="1" ht="15.95" customHeight="1" x14ac:dyDescent="0.25">
      <c r="D175" s="619">
        <f>'Os juros sobre juros'!$E$33</f>
        <v>36</v>
      </c>
      <c r="E175" s="620"/>
      <c r="F175" s="621"/>
    </row>
    <row r="176" spans="1:14" s="43" customFormat="1" ht="15.95" customHeight="1" x14ac:dyDescent="0.25">
      <c r="D176" s="622" t="s">
        <v>633</v>
      </c>
      <c r="E176" s="622"/>
      <c r="F176" s="622"/>
    </row>
    <row r="177" spans="2:8" s="43" customFormat="1" ht="15.95" customHeight="1" x14ac:dyDescent="0.25"/>
    <row r="178" spans="2:8" s="43" customFormat="1" ht="15.95" customHeight="1" x14ac:dyDescent="0.25"/>
    <row r="179" spans="2:8" s="43" customFormat="1" ht="15.95" customHeight="1" x14ac:dyDescent="0.25"/>
    <row r="180" spans="2:8" s="43" customFormat="1" ht="15.95" customHeight="1" x14ac:dyDescent="0.25">
      <c r="D180" s="179">
        <f>D171/D175</f>
        <v>331.89250191718025</v>
      </c>
      <c r="E180" s="179">
        <f>E171/D175</f>
        <v>196.55611111111114</v>
      </c>
      <c r="F180" s="179">
        <f>F171/D175</f>
        <v>135.33639080606912</v>
      </c>
    </row>
    <row r="181" spans="2:8" s="43" customFormat="1" ht="15.95" customHeight="1" x14ac:dyDescent="0.25">
      <c r="D181" s="117" t="s">
        <v>918</v>
      </c>
      <c r="E181" s="117" t="s">
        <v>635</v>
      </c>
      <c r="F181" s="117" t="s">
        <v>634</v>
      </c>
    </row>
    <row r="182" spans="2:8" s="43" customFormat="1" ht="15.95" customHeight="1" x14ac:dyDescent="0.25"/>
    <row r="183" spans="2:8" s="43" customFormat="1" ht="15.95" customHeight="1" x14ac:dyDescent="0.25">
      <c r="B183" s="43" t="s">
        <v>922</v>
      </c>
    </row>
    <row r="184" spans="2:8" s="43" customFormat="1" ht="15.95" customHeight="1" x14ac:dyDescent="0.25">
      <c r="B184" s="43" t="s">
        <v>919</v>
      </c>
    </row>
    <row r="185" spans="2:8" s="43" customFormat="1" ht="15.95" customHeight="1" x14ac:dyDescent="0.25">
      <c r="B185" s="43" t="s">
        <v>764</v>
      </c>
    </row>
    <row r="186" spans="2:8" s="43" customFormat="1" ht="15.95" customHeight="1" thickBot="1" x14ac:dyDescent="0.3"/>
    <row r="187" spans="2:8" s="43" customFormat="1" ht="15.95" customHeight="1" x14ac:dyDescent="0.25">
      <c r="B187" s="460"/>
      <c r="C187" s="461"/>
      <c r="D187" s="461"/>
      <c r="E187" s="461"/>
      <c r="F187" s="461"/>
      <c r="G187" s="461"/>
      <c r="H187" s="462"/>
    </row>
    <row r="188" spans="2:8" s="43" customFormat="1" ht="15.95" customHeight="1" x14ac:dyDescent="0.25">
      <c r="B188" s="463" t="s">
        <v>717</v>
      </c>
      <c r="C188" s="47"/>
      <c r="D188" s="47"/>
      <c r="E188" s="47"/>
      <c r="F188" s="47"/>
      <c r="G188" s="47"/>
      <c r="H188" s="464"/>
    </row>
    <row r="189" spans="2:8" s="43" customFormat="1" ht="15.95" customHeight="1" x14ac:dyDescent="0.25">
      <c r="B189" s="463" t="s">
        <v>949</v>
      </c>
      <c r="C189" s="47"/>
      <c r="D189" s="47"/>
      <c r="E189" s="47"/>
      <c r="F189" s="47"/>
      <c r="G189" s="47"/>
      <c r="H189" s="464"/>
    </row>
    <row r="190" spans="2:8" s="43" customFormat="1" ht="15.95" customHeight="1" x14ac:dyDescent="0.25">
      <c r="B190" s="470" t="s">
        <v>950</v>
      </c>
      <c r="C190" s="473"/>
      <c r="D190" s="473"/>
      <c r="E190" s="47"/>
      <c r="F190" s="475" t="s">
        <v>951</v>
      </c>
      <c r="G190" s="474"/>
      <c r="H190" s="464"/>
    </row>
    <row r="191" spans="2:8" s="43" customFormat="1" ht="15.95" customHeight="1" thickBot="1" x14ac:dyDescent="0.3">
      <c r="B191" s="465"/>
      <c r="C191" s="466"/>
      <c r="D191" s="466"/>
      <c r="E191" s="466"/>
      <c r="F191" s="466"/>
      <c r="G191" s="466"/>
      <c r="H191" s="467"/>
    </row>
    <row r="192" spans="2:8" s="43" customFormat="1" ht="15.95" customHeight="1" x14ac:dyDescent="0.25"/>
    <row r="193" spans="2:7" s="43" customFormat="1" ht="24.95" customHeight="1" x14ac:dyDescent="0.25">
      <c r="B193" s="390" t="s">
        <v>519</v>
      </c>
    </row>
    <row r="194" spans="2:7" s="43" customFormat="1" ht="15.95" customHeight="1" x14ac:dyDescent="0.25"/>
    <row r="195" spans="2:7" s="43" customFormat="1" ht="20.100000000000001" customHeight="1" x14ac:dyDescent="0.25">
      <c r="B195" s="44"/>
      <c r="D195" s="606" t="s">
        <v>120</v>
      </c>
      <c r="E195" s="606"/>
      <c r="F195" s="606"/>
    </row>
    <row r="196" spans="2:7" s="43" customFormat="1" ht="20.100000000000001" customHeight="1" x14ac:dyDescent="0.25">
      <c r="B196" s="44"/>
      <c r="D196" s="281" t="s">
        <v>18</v>
      </c>
      <c r="E196" s="281" t="s">
        <v>38</v>
      </c>
      <c r="F196" s="281" t="s">
        <v>24</v>
      </c>
    </row>
    <row r="197" spans="2:7" s="43" customFormat="1" ht="15.95" customHeight="1" x14ac:dyDescent="0.25">
      <c r="B197" s="44"/>
      <c r="D197" s="290">
        <f>'Os juros sobre juros'!$C$90</f>
        <v>11948.130069018489</v>
      </c>
      <c r="E197" s="290">
        <f>'Os juros sobre juros'!$E$90</f>
        <v>4872.1100690184885</v>
      </c>
      <c r="F197" s="290">
        <f>'Os juros sobre juros'!$D$90</f>
        <v>7076.02</v>
      </c>
    </row>
    <row r="198" spans="2:7" s="43" customFormat="1" ht="15.95" customHeight="1" x14ac:dyDescent="0.25">
      <c r="B198" s="110"/>
    </row>
    <row r="199" spans="2:7" s="43" customFormat="1" ht="20.100000000000001" customHeight="1" x14ac:dyDescent="0.25">
      <c r="B199" s="281" t="s">
        <v>64</v>
      </c>
      <c r="C199" s="281" t="s">
        <v>121</v>
      </c>
      <c r="D199" s="281" t="s">
        <v>17</v>
      </c>
      <c r="E199" s="281" t="s">
        <v>21</v>
      </c>
      <c r="F199" s="281" t="s">
        <v>90</v>
      </c>
      <c r="G199" s="281" t="s">
        <v>122</v>
      </c>
    </row>
    <row r="200" spans="2:7" s="43" customFormat="1" ht="15.95" customHeight="1" x14ac:dyDescent="0.25">
      <c r="B200" s="142">
        <v>1</v>
      </c>
      <c r="C200" s="179">
        <f>'Os juros sobre juros'!$E$31</f>
        <v>7076.02</v>
      </c>
      <c r="D200" s="179">
        <f>'Os juros sobre juros'!$E$46</f>
        <v>331.89250191718025</v>
      </c>
      <c r="E200" s="179">
        <f>$F$180</f>
        <v>135.33639080606912</v>
      </c>
      <c r="F200" s="179">
        <f>$E$180</f>
        <v>196.55611111111114</v>
      </c>
      <c r="G200" s="179">
        <f>C200-F200</f>
        <v>6879.4638888888894</v>
      </c>
    </row>
    <row r="201" spans="2:7" s="43" customFormat="1" ht="15.95" customHeight="1" x14ac:dyDescent="0.25">
      <c r="B201" s="142">
        <f>B200+1</f>
        <v>2</v>
      </c>
      <c r="C201" s="179">
        <f>G200</f>
        <v>6879.4638888888894</v>
      </c>
      <c r="D201" s="179">
        <f>'Os juros sobre juros'!$E$46</f>
        <v>331.89250191718025</v>
      </c>
      <c r="E201" s="179">
        <f t="shared" ref="E201:E235" si="6">$F$180</f>
        <v>135.33639080606912</v>
      </c>
      <c r="F201" s="179">
        <f t="shared" ref="F201:F235" si="7">$E$180</f>
        <v>196.55611111111114</v>
      </c>
      <c r="G201" s="179">
        <f>C201-F201</f>
        <v>6682.9077777777784</v>
      </c>
    </row>
    <row r="202" spans="2:7" s="43" customFormat="1" ht="15.95" customHeight="1" x14ac:dyDescent="0.25">
      <c r="B202" s="142">
        <f t="shared" ref="B202:B235" si="8">B201+1</f>
        <v>3</v>
      </c>
      <c r="C202" s="179">
        <f t="shared" ref="C202:C235" si="9">G201</f>
        <v>6682.9077777777784</v>
      </c>
      <c r="D202" s="179">
        <f>'Os juros sobre juros'!$E$46</f>
        <v>331.89250191718025</v>
      </c>
      <c r="E202" s="179">
        <f t="shared" si="6"/>
        <v>135.33639080606912</v>
      </c>
      <c r="F202" s="179">
        <f t="shared" si="7"/>
        <v>196.55611111111114</v>
      </c>
      <c r="G202" s="179">
        <f t="shared" ref="G202:G235" si="10">C202-F202</f>
        <v>6486.3516666666674</v>
      </c>
    </row>
    <row r="203" spans="2:7" s="43" customFormat="1" ht="15.95" customHeight="1" x14ac:dyDescent="0.25">
      <c r="B203" s="142">
        <f t="shared" si="8"/>
        <v>4</v>
      </c>
      <c r="C203" s="179">
        <f t="shared" si="9"/>
        <v>6486.3516666666674</v>
      </c>
      <c r="D203" s="179">
        <f>'Os juros sobre juros'!$E$46</f>
        <v>331.89250191718025</v>
      </c>
      <c r="E203" s="179">
        <f t="shared" si="6"/>
        <v>135.33639080606912</v>
      </c>
      <c r="F203" s="179">
        <f t="shared" si="7"/>
        <v>196.55611111111114</v>
      </c>
      <c r="G203" s="179">
        <f t="shared" si="10"/>
        <v>6289.7955555555563</v>
      </c>
    </row>
    <row r="204" spans="2:7" s="43" customFormat="1" ht="15.95" customHeight="1" x14ac:dyDescent="0.25">
      <c r="B204" s="142">
        <f t="shared" si="8"/>
        <v>5</v>
      </c>
      <c r="C204" s="179">
        <f t="shared" si="9"/>
        <v>6289.7955555555563</v>
      </c>
      <c r="D204" s="179">
        <f>'Os juros sobre juros'!$E$46</f>
        <v>331.89250191718025</v>
      </c>
      <c r="E204" s="179">
        <f t="shared" si="6"/>
        <v>135.33639080606912</v>
      </c>
      <c r="F204" s="179">
        <f t="shared" si="7"/>
        <v>196.55611111111114</v>
      </c>
      <c r="G204" s="179">
        <f t="shared" si="10"/>
        <v>6093.2394444444453</v>
      </c>
    </row>
    <row r="205" spans="2:7" s="43" customFormat="1" ht="15.95" customHeight="1" x14ac:dyDescent="0.25">
      <c r="B205" s="142">
        <f t="shared" si="8"/>
        <v>6</v>
      </c>
      <c r="C205" s="179">
        <f t="shared" si="9"/>
        <v>6093.2394444444453</v>
      </c>
      <c r="D205" s="179">
        <f>'Os juros sobre juros'!$E$46</f>
        <v>331.89250191718025</v>
      </c>
      <c r="E205" s="179">
        <f t="shared" si="6"/>
        <v>135.33639080606912</v>
      </c>
      <c r="F205" s="179">
        <f t="shared" si="7"/>
        <v>196.55611111111114</v>
      </c>
      <c r="G205" s="179">
        <f t="shared" si="10"/>
        <v>5896.6833333333343</v>
      </c>
    </row>
    <row r="206" spans="2:7" s="43" customFormat="1" ht="15.95" customHeight="1" x14ac:dyDescent="0.25">
      <c r="B206" s="142">
        <f t="shared" si="8"/>
        <v>7</v>
      </c>
      <c r="C206" s="179">
        <f t="shared" si="9"/>
        <v>5896.6833333333343</v>
      </c>
      <c r="D206" s="179">
        <f>'Os juros sobre juros'!$E$46</f>
        <v>331.89250191718025</v>
      </c>
      <c r="E206" s="179">
        <f t="shared" si="6"/>
        <v>135.33639080606912</v>
      </c>
      <c r="F206" s="179">
        <f t="shared" si="7"/>
        <v>196.55611111111114</v>
      </c>
      <c r="G206" s="179">
        <f t="shared" si="10"/>
        <v>5700.1272222222233</v>
      </c>
    </row>
    <row r="207" spans="2:7" s="43" customFormat="1" ht="15.95" customHeight="1" x14ac:dyDescent="0.25">
      <c r="B207" s="142">
        <f t="shared" si="8"/>
        <v>8</v>
      </c>
      <c r="C207" s="179">
        <f t="shared" si="9"/>
        <v>5700.1272222222233</v>
      </c>
      <c r="D207" s="179">
        <f>'Os juros sobre juros'!$E$46</f>
        <v>331.89250191718025</v>
      </c>
      <c r="E207" s="179">
        <f t="shared" si="6"/>
        <v>135.33639080606912</v>
      </c>
      <c r="F207" s="179">
        <f t="shared" si="7"/>
        <v>196.55611111111114</v>
      </c>
      <c r="G207" s="179">
        <f t="shared" si="10"/>
        <v>5503.5711111111123</v>
      </c>
    </row>
    <row r="208" spans="2:7" s="43" customFormat="1" ht="15.95" customHeight="1" x14ac:dyDescent="0.25">
      <c r="B208" s="142">
        <f t="shared" si="8"/>
        <v>9</v>
      </c>
      <c r="C208" s="179">
        <f t="shared" si="9"/>
        <v>5503.5711111111123</v>
      </c>
      <c r="D208" s="179">
        <f>'Os juros sobre juros'!$E$46</f>
        <v>331.89250191718025</v>
      </c>
      <c r="E208" s="179">
        <f t="shared" si="6"/>
        <v>135.33639080606912</v>
      </c>
      <c r="F208" s="179">
        <f t="shared" si="7"/>
        <v>196.55611111111114</v>
      </c>
      <c r="G208" s="179">
        <f t="shared" si="10"/>
        <v>5307.0150000000012</v>
      </c>
    </row>
    <row r="209" spans="2:7" s="43" customFormat="1" ht="15.95" customHeight="1" x14ac:dyDescent="0.25">
      <c r="B209" s="142">
        <f t="shared" si="8"/>
        <v>10</v>
      </c>
      <c r="C209" s="179">
        <f t="shared" si="9"/>
        <v>5307.0150000000012</v>
      </c>
      <c r="D209" s="179">
        <f>'Os juros sobre juros'!$E$46</f>
        <v>331.89250191718025</v>
      </c>
      <c r="E209" s="179">
        <f t="shared" si="6"/>
        <v>135.33639080606912</v>
      </c>
      <c r="F209" s="179">
        <f t="shared" si="7"/>
        <v>196.55611111111114</v>
      </c>
      <c r="G209" s="179">
        <f t="shared" si="10"/>
        <v>5110.4588888888902</v>
      </c>
    </row>
    <row r="210" spans="2:7" s="43" customFormat="1" ht="15.95" customHeight="1" x14ac:dyDescent="0.25">
      <c r="B210" s="142">
        <f t="shared" si="8"/>
        <v>11</v>
      </c>
      <c r="C210" s="179">
        <f t="shared" si="9"/>
        <v>5110.4588888888902</v>
      </c>
      <c r="D210" s="179">
        <f>'Os juros sobre juros'!$E$46</f>
        <v>331.89250191718025</v>
      </c>
      <c r="E210" s="179">
        <f t="shared" si="6"/>
        <v>135.33639080606912</v>
      </c>
      <c r="F210" s="179">
        <f t="shared" si="7"/>
        <v>196.55611111111114</v>
      </c>
      <c r="G210" s="179">
        <f t="shared" si="10"/>
        <v>4913.9027777777792</v>
      </c>
    </row>
    <row r="211" spans="2:7" s="43" customFormat="1" ht="15.95" customHeight="1" x14ac:dyDescent="0.25">
      <c r="B211" s="142">
        <f t="shared" si="8"/>
        <v>12</v>
      </c>
      <c r="C211" s="179">
        <f t="shared" si="9"/>
        <v>4913.9027777777792</v>
      </c>
      <c r="D211" s="179">
        <f>'Os juros sobre juros'!$E$46</f>
        <v>331.89250191718025</v>
      </c>
      <c r="E211" s="179">
        <f t="shared" si="6"/>
        <v>135.33639080606912</v>
      </c>
      <c r="F211" s="179">
        <f t="shared" si="7"/>
        <v>196.55611111111114</v>
      </c>
      <c r="G211" s="179">
        <f t="shared" si="10"/>
        <v>4717.3466666666682</v>
      </c>
    </row>
    <row r="212" spans="2:7" s="43" customFormat="1" ht="15.95" customHeight="1" x14ac:dyDescent="0.25">
      <c r="B212" s="142">
        <f t="shared" si="8"/>
        <v>13</v>
      </c>
      <c r="C212" s="179">
        <f t="shared" si="9"/>
        <v>4717.3466666666682</v>
      </c>
      <c r="D212" s="179">
        <f>'Os juros sobre juros'!$E$46</f>
        <v>331.89250191718025</v>
      </c>
      <c r="E212" s="179">
        <f t="shared" si="6"/>
        <v>135.33639080606912</v>
      </c>
      <c r="F212" s="179">
        <f t="shared" si="7"/>
        <v>196.55611111111114</v>
      </c>
      <c r="G212" s="179">
        <f t="shared" si="10"/>
        <v>4520.7905555555571</v>
      </c>
    </row>
    <row r="213" spans="2:7" s="43" customFormat="1" ht="15.95" customHeight="1" x14ac:dyDescent="0.25">
      <c r="B213" s="142">
        <f t="shared" si="8"/>
        <v>14</v>
      </c>
      <c r="C213" s="179">
        <f t="shared" si="9"/>
        <v>4520.7905555555571</v>
      </c>
      <c r="D213" s="179">
        <f>'Os juros sobre juros'!$E$46</f>
        <v>331.89250191718025</v>
      </c>
      <c r="E213" s="179">
        <f t="shared" si="6"/>
        <v>135.33639080606912</v>
      </c>
      <c r="F213" s="179">
        <f t="shared" si="7"/>
        <v>196.55611111111114</v>
      </c>
      <c r="G213" s="179">
        <f t="shared" si="10"/>
        <v>4324.2344444444461</v>
      </c>
    </row>
    <row r="214" spans="2:7" s="43" customFormat="1" ht="15.95" customHeight="1" x14ac:dyDescent="0.25">
      <c r="B214" s="142">
        <f t="shared" si="8"/>
        <v>15</v>
      </c>
      <c r="C214" s="179">
        <f t="shared" si="9"/>
        <v>4324.2344444444461</v>
      </c>
      <c r="D214" s="179">
        <f>'Os juros sobre juros'!$E$46</f>
        <v>331.89250191718025</v>
      </c>
      <c r="E214" s="179">
        <f t="shared" si="6"/>
        <v>135.33639080606912</v>
      </c>
      <c r="F214" s="179">
        <f t="shared" si="7"/>
        <v>196.55611111111114</v>
      </c>
      <c r="G214" s="179">
        <f t="shared" si="10"/>
        <v>4127.6783333333351</v>
      </c>
    </row>
    <row r="215" spans="2:7" s="43" customFormat="1" ht="15.95" customHeight="1" x14ac:dyDescent="0.25">
      <c r="B215" s="142">
        <f t="shared" si="8"/>
        <v>16</v>
      </c>
      <c r="C215" s="179">
        <f t="shared" si="9"/>
        <v>4127.6783333333351</v>
      </c>
      <c r="D215" s="179">
        <f>'Os juros sobre juros'!$E$46</f>
        <v>331.89250191718025</v>
      </c>
      <c r="E215" s="179">
        <f t="shared" si="6"/>
        <v>135.33639080606912</v>
      </c>
      <c r="F215" s="179">
        <f t="shared" si="7"/>
        <v>196.55611111111114</v>
      </c>
      <c r="G215" s="179">
        <f t="shared" si="10"/>
        <v>3931.1222222222241</v>
      </c>
    </row>
    <row r="216" spans="2:7" s="43" customFormat="1" ht="15.95" customHeight="1" x14ac:dyDescent="0.25">
      <c r="B216" s="142">
        <f t="shared" si="8"/>
        <v>17</v>
      </c>
      <c r="C216" s="179">
        <f t="shared" si="9"/>
        <v>3931.1222222222241</v>
      </c>
      <c r="D216" s="179">
        <f>'Os juros sobre juros'!$E$46</f>
        <v>331.89250191718025</v>
      </c>
      <c r="E216" s="179">
        <f t="shared" si="6"/>
        <v>135.33639080606912</v>
      </c>
      <c r="F216" s="179">
        <f t="shared" si="7"/>
        <v>196.55611111111114</v>
      </c>
      <c r="G216" s="179">
        <f t="shared" si="10"/>
        <v>3734.5661111111131</v>
      </c>
    </row>
    <row r="217" spans="2:7" s="43" customFormat="1" ht="15.95" customHeight="1" x14ac:dyDescent="0.25">
      <c r="B217" s="142">
        <f t="shared" si="8"/>
        <v>18</v>
      </c>
      <c r="C217" s="179">
        <f t="shared" si="9"/>
        <v>3734.5661111111131</v>
      </c>
      <c r="D217" s="179">
        <f>'Os juros sobre juros'!$E$46</f>
        <v>331.89250191718025</v>
      </c>
      <c r="E217" s="179">
        <f t="shared" si="6"/>
        <v>135.33639080606912</v>
      </c>
      <c r="F217" s="179">
        <f t="shared" si="7"/>
        <v>196.55611111111114</v>
      </c>
      <c r="G217" s="179">
        <f t="shared" si="10"/>
        <v>3538.010000000002</v>
      </c>
    </row>
    <row r="218" spans="2:7" s="43" customFormat="1" ht="15.95" customHeight="1" x14ac:dyDescent="0.25">
      <c r="B218" s="142">
        <f t="shared" si="8"/>
        <v>19</v>
      </c>
      <c r="C218" s="179">
        <f t="shared" si="9"/>
        <v>3538.010000000002</v>
      </c>
      <c r="D218" s="179">
        <f>'Os juros sobre juros'!$E$46</f>
        <v>331.89250191718025</v>
      </c>
      <c r="E218" s="179">
        <f t="shared" si="6"/>
        <v>135.33639080606912</v>
      </c>
      <c r="F218" s="179">
        <f t="shared" si="7"/>
        <v>196.55611111111114</v>
      </c>
      <c r="G218" s="179">
        <f t="shared" si="10"/>
        <v>3341.453888888891</v>
      </c>
    </row>
    <row r="219" spans="2:7" s="43" customFormat="1" ht="15.95" customHeight="1" x14ac:dyDescent="0.25">
      <c r="B219" s="142">
        <f t="shared" si="8"/>
        <v>20</v>
      </c>
      <c r="C219" s="179">
        <f t="shared" si="9"/>
        <v>3341.453888888891</v>
      </c>
      <c r="D219" s="179">
        <f>'Os juros sobre juros'!$E$46</f>
        <v>331.89250191718025</v>
      </c>
      <c r="E219" s="179">
        <f t="shared" si="6"/>
        <v>135.33639080606912</v>
      </c>
      <c r="F219" s="179">
        <f t="shared" si="7"/>
        <v>196.55611111111114</v>
      </c>
      <c r="G219" s="179">
        <f t="shared" si="10"/>
        <v>3144.89777777778</v>
      </c>
    </row>
    <row r="220" spans="2:7" s="43" customFormat="1" ht="15.95" customHeight="1" x14ac:dyDescent="0.25">
      <c r="B220" s="142">
        <f t="shared" si="8"/>
        <v>21</v>
      </c>
      <c r="C220" s="179">
        <f t="shared" si="9"/>
        <v>3144.89777777778</v>
      </c>
      <c r="D220" s="179">
        <f>'Os juros sobre juros'!$E$46</f>
        <v>331.89250191718025</v>
      </c>
      <c r="E220" s="179">
        <f t="shared" si="6"/>
        <v>135.33639080606912</v>
      </c>
      <c r="F220" s="179">
        <f t="shared" si="7"/>
        <v>196.55611111111114</v>
      </c>
      <c r="G220" s="179">
        <f t="shared" si="10"/>
        <v>2948.341666666669</v>
      </c>
    </row>
    <row r="221" spans="2:7" s="43" customFormat="1" ht="15.95" customHeight="1" x14ac:dyDescent="0.25">
      <c r="B221" s="142">
        <f t="shared" si="8"/>
        <v>22</v>
      </c>
      <c r="C221" s="179">
        <f t="shared" si="9"/>
        <v>2948.341666666669</v>
      </c>
      <c r="D221" s="179">
        <f>'Os juros sobre juros'!$E$46</f>
        <v>331.89250191718025</v>
      </c>
      <c r="E221" s="179">
        <f t="shared" si="6"/>
        <v>135.33639080606912</v>
      </c>
      <c r="F221" s="179">
        <f t="shared" si="7"/>
        <v>196.55611111111114</v>
      </c>
      <c r="G221" s="179">
        <f t="shared" si="10"/>
        <v>2751.7855555555579</v>
      </c>
    </row>
    <row r="222" spans="2:7" s="43" customFormat="1" ht="15.95" customHeight="1" x14ac:dyDescent="0.25">
      <c r="B222" s="142">
        <f t="shared" si="8"/>
        <v>23</v>
      </c>
      <c r="C222" s="179">
        <f t="shared" si="9"/>
        <v>2751.7855555555579</v>
      </c>
      <c r="D222" s="179">
        <f>'Os juros sobre juros'!$E$46</f>
        <v>331.89250191718025</v>
      </c>
      <c r="E222" s="179">
        <f t="shared" si="6"/>
        <v>135.33639080606912</v>
      </c>
      <c r="F222" s="179">
        <f t="shared" si="7"/>
        <v>196.55611111111114</v>
      </c>
      <c r="G222" s="179">
        <f t="shared" si="10"/>
        <v>2555.2294444444469</v>
      </c>
    </row>
    <row r="223" spans="2:7" s="43" customFormat="1" ht="15.95" customHeight="1" x14ac:dyDescent="0.25">
      <c r="B223" s="142">
        <f t="shared" si="8"/>
        <v>24</v>
      </c>
      <c r="C223" s="179">
        <f t="shared" si="9"/>
        <v>2555.2294444444469</v>
      </c>
      <c r="D223" s="179">
        <f>'Os juros sobre juros'!$E$46</f>
        <v>331.89250191718025</v>
      </c>
      <c r="E223" s="179">
        <f t="shared" si="6"/>
        <v>135.33639080606912</v>
      </c>
      <c r="F223" s="179">
        <f t="shared" si="7"/>
        <v>196.55611111111114</v>
      </c>
      <c r="G223" s="179">
        <f t="shared" si="10"/>
        <v>2358.6733333333359</v>
      </c>
    </row>
    <row r="224" spans="2:7" s="43" customFormat="1" ht="15.95" customHeight="1" x14ac:dyDescent="0.25">
      <c r="B224" s="142">
        <f t="shared" si="8"/>
        <v>25</v>
      </c>
      <c r="C224" s="179">
        <f t="shared" si="9"/>
        <v>2358.6733333333359</v>
      </c>
      <c r="D224" s="179">
        <f>'Os juros sobre juros'!$E$46</f>
        <v>331.89250191718025</v>
      </c>
      <c r="E224" s="179">
        <f t="shared" si="6"/>
        <v>135.33639080606912</v>
      </c>
      <c r="F224" s="179">
        <f t="shared" si="7"/>
        <v>196.55611111111114</v>
      </c>
      <c r="G224" s="179">
        <f t="shared" si="10"/>
        <v>2162.1172222222249</v>
      </c>
    </row>
    <row r="225" spans="2:8" s="43" customFormat="1" ht="15.95" customHeight="1" x14ac:dyDescent="0.25">
      <c r="B225" s="142">
        <f t="shared" si="8"/>
        <v>26</v>
      </c>
      <c r="C225" s="179">
        <f t="shared" si="9"/>
        <v>2162.1172222222249</v>
      </c>
      <c r="D225" s="179">
        <f>'Os juros sobre juros'!$E$46</f>
        <v>331.89250191718025</v>
      </c>
      <c r="E225" s="179">
        <f t="shared" si="6"/>
        <v>135.33639080606912</v>
      </c>
      <c r="F225" s="179">
        <f t="shared" si="7"/>
        <v>196.55611111111114</v>
      </c>
      <c r="G225" s="179">
        <f t="shared" si="10"/>
        <v>1965.5611111111139</v>
      </c>
    </row>
    <row r="226" spans="2:8" s="43" customFormat="1" ht="15.95" customHeight="1" x14ac:dyDescent="0.25">
      <c r="B226" s="142">
        <f t="shared" si="8"/>
        <v>27</v>
      </c>
      <c r="C226" s="179">
        <f t="shared" si="9"/>
        <v>1965.5611111111139</v>
      </c>
      <c r="D226" s="179">
        <f>'Os juros sobre juros'!$E$46</f>
        <v>331.89250191718025</v>
      </c>
      <c r="E226" s="179">
        <f t="shared" si="6"/>
        <v>135.33639080606912</v>
      </c>
      <c r="F226" s="179">
        <f t="shared" si="7"/>
        <v>196.55611111111114</v>
      </c>
      <c r="G226" s="179">
        <f t="shared" si="10"/>
        <v>1769.0050000000028</v>
      </c>
    </row>
    <row r="227" spans="2:8" s="43" customFormat="1" ht="15.95" customHeight="1" x14ac:dyDescent="0.25">
      <c r="B227" s="142">
        <f t="shared" si="8"/>
        <v>28</v>
      </c>
      <c r="C227" s="179">
        <f t="shared" si="9"/>
        <v>1769.0050000000028</v>
      </c>
      <c r="D227" s="179">
        <f>'Os juros sobre juros'!$E$46</f>
        <v>331.89250191718025</v>
      </c>
      <c r="E227" s="179">
        <f t="shared" si="6"/>
        <v>135.33639080606912</v>
      </c>
      <c r="F227" s="179">
        <f t="shared" si="7"/>
        <v>196.55611111111114</v>
      </c>
      <c r="G227" s="179">
        <f t="shared" si="10"/>
        <v>1572.4488888888918</v>
      </c>
    </row>
    <row r="228" spans="2:8" s="43" customFormat="1" ht="15.95" customHeight="1" x14ac:dyDescent="0.25">
      <c r="B228" s="142">
        <f t="shared" si="8"/>
        <v>29</v>
      </c>
      <c r="C228" s="179">
        <f t="shared" si="9"/>
        <v>1572.4488888888918</v>
      </c>
      <c r="D228" s="179">
        <f>'Os juros sobre juros'!$E$46</f>
        <v>331.89250191718025</v>
      </c>
      <c r="E228" s="179">
        <f t="shared" si="6"/>
        <v>135.33639080606912</v>
      </c>
      <c r="F228" s="179">
        <f t="shared" si="7"/>
        <v>196.55611111111114</v>
      </c>
      <c r="G228" s="179">
        <f t="shared" si="10"/>
        <v>1375.8927777777808</v>
      </c>
    </row>
    <row r="229" spans="2:8" s="43" customFormat="1" ht="15.95" customHeight="1" x14ac:dyDescent="0.25">
      <c r="B229" s="142">
        <f t="shared" si="8"/>
        <v>30</v>
      </c>
      <c r="C229" s="179">
        <f t="shared" si="9"/>
        <v>1375.8927777777808</v>
      </c>
      <c r="D229" s="179">
        <f>'Os juros sobre juros'!$E$46</f>
        <v>331.89250191718025</v>
      </c>
      <c r="E229" s="179">
        <f t="shared" si="6"/>
        <v>135.33639080606912</v>
      </c>
      <c r="F229" s="179">
        <f t="shared" si="7"/>
        <v>196.55611111111114</v>
      </c>
      <c r="G229" s="179">
        <f t="shared" si="10"/>
        <v>1179.3366666666698</v>
      </c>
    </row>
    <row r="230" spans="2:8" s="43" customFormat="1" ht="15.95" customHeight="1" x14ac:dyDescent="0.25">
      <c r="B230" s="142">
        <f t="shared" si="8"/>
        <v>31</v>
      </c>
      <c r="C230" s="179">
        <f t="shared" si="9"/>
        <v>1179.3366666666698</v>
      </c>
      <c r="D230" s="179">
        <f>'Os juros sobre juros'!$E$46</f>
        <v>331.89250191718025</v>
      </c>
      <c r="E230" s="179">
        <f t="shared" si="6"/>
        <v>135.33639080606912</v>
      </c>
      <c r="F230" s="179">
        <f t="shared" si="7"/>
        <v>196.55611111111114</v>
      </c>
      <c r="G230" s="179">
        <f t="shared" si="10"/>
        <v>982.78055555555864</v>
      </c>
    </row>
    <row r="231" spans="2:8" s="43" customFormat="1" ht="15.95" customHeight="1" x14ac:dyDescent="0.25">
      <c r="B231" s="142">
        <f t="shared" si="8"/>
        <v>32</v>
      </c>
      <c r="C231" s="179">
        <f t="shared" si="9"/>
        <v>982.78055555555864</v>
      </c>
      <c r="D231" s="179">
        <f>'Os juros sobre juros'!$E$46</f>
        <v>331.89250191718025</v>
      </c>
      <c r="E231" s="179">
        <f t="shared" si="6"/>
        <v>135.33639080606912</v>
      </c>
      <c r="F231" s="179">
        <f t="shared" si="7"/>
        <v>196.55611111111114</v>
      </c>
      <c r="G231" s="179">
        <f t="shared" si="10"/>
        <v>786.2244444444475</v>
      </c>
    </row>
    <row r="232" spans="2:8" s="43" customFormat="1" ht="15.95" customHeight="1" x14ac:dyDescent="0.25">
      <c r="B232" s="142">
        <f t="shared" si="8"/>
        <v>33</v>
      </c>
      <c r="C232" s="179">
        <f t="shared" si="9"/>
        <v>786.2244444444475</v>
      </c>
      <c r="D232" s="179">
        <f>'Os juros sobre juros'!$E$46</f>
        <v>331.89250191718025</v>
      </c>
      <c r="E232" s="179">
        <f t="shared" si="6"/>
        <v>135.33639080606912</v>
      </c>
      <c r="F232" s="179">
        <f t="shared" si="7"/>
        <v>196.55611111111114</v>
      </c>
      <c r="G232" s="179">
        <f t="shared" si="10"/>
        <v>589.66833333333636</v>
      </c>
    </row>
    <row r="233" spans="2:8" s="43" customFormat="1" ht="15.95" customHeight="1" x14ac:dyDescent="0.25">
      <c r="B233" s="142">
        <f t="shared" si="8"/>
        <v>34</v>
      </c>
      <c r="C233" s="179">
        <f t="shared" si="9"/>
        <v>589.66833333333636</v>
      </c>
      <c r="D233" s="179">
        <f>'Os juros sobre juros'!$E$46</f>
        <v>331.89250191718025</v>
      </c>
      <c r="E233" s="179">
        <f t="shared" si="6"/>
        <v>135.33639080606912</v>
      </c>
      <c r="F233" s="179">
        <f t="shared" si="7"/>
        <v>196.55611111111114</v>
      </c>
      <c r="G233" s="179">
        <f t="shared" si="10"/>
        <v>393.11222222222523</v>
      </c>
    </row>
    <row r="234" spans="2:8" s="43" customFormat="1" ht="15.95" customHeight="1" x14ac:dyDescent="0.25">
      <c r="B234" s="142">
        <f t="shared" si="8"/>
        <v>35</v>
      </c>
      <c r="C234" s="179">
        <f t="shared" si="9"/>
        <v>393.11222222222523</v>
      </c>
      <c r="D234" s="179">
        <f>'Os juros sobre juros'!$E$46</f>
        <v>331.89250191718025</v>
      </c>
      <c r="E234" s="179">
        <f t="shared" si="6"/>
        <v>135.33639080606912</v>
      </c>
      <c r="F234" s="179">
        <f t="shared" si="7"/>
        <v>196.55611111111114</v>
      </c>
      <c r="G234" s="179">
        <f t="shared" si="10"/>
        <v>196.55611111111409</v>
      </c>
    </row>
    <row r="235" spans="2:8" s="95" customFormat="1" ht="15.95" customHeight="1" x14ac:dyDescent="0.25">
      <c r="B235" s="291">
        <f t="shared" si="8"/>
        <v>36</v>
      </c>
      <c r="C235" s="296">
        <f t="shared" si="9"/>
        <v>196.55611111111409</v>
      </c>
      <c r="D235" s="296">
        <f>'Os juros sobre juros'!$E$46</f>
        <v>331.89250191718025</v>
      </c>
      <c r="E235" s="296">
        <f t="shared" si="6"/>
        <v>135.33639080606912</v>
      </c>
      <c r="F235" s="296">
        <f t="shared" si="7"/>
        <v>196.55611111111114</v>
      </c>
      <c r="G235" s="296">
        <f t="shared" si="10"/>
        <v>2.9558577807620168E-12</v>
      </c>
    </row>
    <row r="236" spans="2:8" s="95" customFormat="1" ht="15.95" customHeight="1" x14ac:dyDescent="0.25">
      <c r="B236" s="292"/>
      <c r="C236" s="293" t="s">
        <v>123</v>
      </c>
      <c r="D236" s="297">
        <f ca="1">SUM(D200:INDIRECT(ADDRESS(ROW($D$236)-1,4)))</f>
        <v>11948.130069018489</v>
      </c>
      <c r="E236" s="297">
        <f ca="1">SUM(E200:INDIRECT(ADDRESS(ROW($E$236)-1,5)))</f>
        <v>4872.1100690184894</v>
      </c>
      <c r="F236" s="297">
        <f ca="1">SUM(F200:INDIRECT(ADDRESS(ROW($F$236)-1,6)))</f>
        <v>7076.0199999999977</v>
      </c>
      <c r="G236" s="293"/>
    </row>
    <row r="237" spans="2:8" s="43" customFormat="1" ht="15.95" customHeight="1" x14ac:dyDescent="0.25">
      <c r="B237" s="47"/>
      <c r="C237" s="166"/>
      <c r="D237" s="680" t="str">
        <f ca="1">IF(OR(($D$236-$C$249)&gt;0.01,($D$236-$C$249)&lt;-0.01,($E$236-$D$249)&gt;0.01,($E$236-$D$249)&lt;-0.01,($F$236-$E$249)&gt;0.01,($F$236-$E$249)&lt;-0.01),"FALTA ATUALIZAR A TABELA 17","")</f>
        <v/>
      </c>
      <c r="E237" s="681"/>
      <c r="F237" s="682"/>
      <c r="G237" s="166"/>
    </row>
    <row r="238" spans="2:8" s="43" customFormat="1" ht="20.100000000000001" customHeight="1" x14ac:dyDescent="0.25">
      <c r="B238" s="47"/>
      <c r="C238" s="166"/>
      <c r="D238" s="606" t="s">
        <v>124</v>
      </c>
      <c r="E238" s="606"/>
      <c r="F238" s="606"/>
      <c r="G238" s="166"/>
    </row>
    <row r="239" spans="2:8" s="43" customFormat="1" ht="20.100000000000001" customHeight="1" x14ac:dyDescent="0.25">
      <c r="B239" s="47"/>
      <c r="C239" s="166"/>
      <c r="D239" s="281" t="s">
        <v>18</v>
      </c>
      <c r="E239" s="281" t="s">
        <v>38</v>
      </c>
      <c r="F239" s="281" t="s">
        <v>24</v>
      </c>
      <c r="G239" s="166"/>
      <c r="H239" s="47"/>
    </row>
    <row r="240" spans="2:8" s="43" customFormat="1" ht="15.95" customHeight="1" x14ac:dyDescent="0.25">
      <c r="B240" s="47"/>
      <c r="C240" s="166"/>
      <c r="D240" s="290">
        <f ca="1">D236</f>
        <v>11948.130069018489</v>
      </c>
      <c r="E240" s="290">
        <f ca="1">E236</f>
        <v>4872.1100690184894</v>
      </c>
      <c r="F240" s="290">
        <f ca="1">F236</f>
        <v>7076.0199999999977</v>
      </c>
      <c r="G240" s="166"/>
    </row>
    <row r="241" spans="1:10" s="43" customFormat="1" ht="15.95" customHeight="1" thickBot="1" x14ac:dyDescent="0.3">
      <c r="B241" s="47"/>
      <c r="C241" s="166"/>
      <c r="D241" s="298"/>
      <c r="E241" s="298"/>
      <c r="F241" s="298"/>
      <c r="G241" s="166"/>
    </row>
    <row r="242" spans="1:10" s="43" customFormat="1" ht="24.95" customHeight="1" x14ac:dyDescent="0.25">
      <c r="C242" s="299" t="s">
        <v>138</v>
      </c>
      <c r="D242" s="300"/>
      <c r="E242" s="300"/>
      <c r="F242" s="301"/>
      <c r="G242" s="301"/>
      <c r="H242" s="302"/>
    </row>
    <row r="243" spans="1:10" s="43" customFormat="1" ht="15.95" customHeight="1" x14ac:dyDescent="0.25">
      <c r="C243" s="303" t="s">
        <v>194</v>
      </c>
      <c r="D243" s="67"/>
      <c r="E243" s="67"/>
      <c r="F243" s="47"/>
      <c r="G243" s="47"/>
      <c r="H243" s="64"/>
      <c r="I243" s="43" t="s">
        <v>139</v>
      </c>
    </row>
    <row r="244" spans="1:10" s="43" customFormat="1" ht="15.95" customHeight="1" x14ac:dyDescent="0.25">
      <c r="C244" s="303" t="s">
        <v>332</v>
      </c>
      <c r="D244" s="67"/>
      <c r="E244" s="67"/>
      <c r="F244" s="47"/>
      <c r="G244" s="47"/>
      <c r="H244" s="64"/>
    </row>
    <row r="245" spans="1:10" s="43" customFormat="1" ht="15.95" customHeight="1" x14ac:dyDescent="0.25">
      <c r="C245" s="303" t="s">
        <v>331</v>
      </c>
      <c r="D245" s="67"/>
      <c r="E245" s="67"/>
      <c r="F245" s="47"/>
      <c r="G245" s="47"/>
      <c r="H245" s="64"/>
    </row>
    <row r="246" spans="1:10" s="43" customFormat="1" ht="15.95" customHeight="1" x14ac:dyDescent="0.25">
      <c r="C246" s="303"/>
      <c r="D246" s="67"/>
      <c r="E246" s="67"/>
      <c r="F246" s="47"/>
      <c r="G246" s="47"/>
      <c r="H246" s="64"/>
    </row>
    <row r="247" spans="1:10" s="43" customFormat="1" ht="24.95" customHeight="1" x14ac:dyDescent="0.25">
      <c r="C247" s="392" t="s">
        <v>133</v>
      </c>
      <c r="D247" s="67"/>
      <c r="E247" s="67"/>
      <c r="F247" s="47"/>
      <c r="G247" s="47"/>
      <c r="H247" s="64"/>
    </row>
    <row r="248" spans="1:10" ht="20.100000000000001" customHeight="1" x14ac:dyDescent="0.25">
      <c r="C248" s="68" t="s">
        <v>18</v>
      </c>
      <c r="D248" s="69" t="s">
        <v>38</v>
      </c>
      <c r="E248" s="69" t="s">
        <v>24</v>
      </c>
      <c r="F248" s="2"/>
      <c r="G248" s="2"/>
      <c r="H248" s="63"/>
    </row>
    <row r="249" spans="1:10" s="43" customFormat="1" ht="15.95" customHeight="1" thickBot="1" x14ac:dyDescent="0.3">
      <c r="C249" s="304">
        <f>'Os juros sobre juros'!$C$90</f>
        <v>11948.130069018489</v>
      </c>
      <c r="D249" s="305">
        <f>'Os juros sobre juros'!$E$90</f>
        <v>4872.1100690184885</v>
      </c>
      <c r="E249" s="305">
        <f>'Os juros sobre juros'!$D$90</f>
        <v>7076.02</v>
      </c>
      <c r="F249" s="287"/>
      <c r="G249" s="287"/>
      <c r="H249" s="306"/>
    </row>
    <row r="250" spans="1:10" s="43" customFormat="1" ht="15.95" customHeight="1" x14ac:dyDescent="0.25">
      <c r="H250" s="158"/>
      <c r="I250" s="48"/>
    </row>
    <row r="251" spans="1:10" s="43" customFormat="1" ht="24.95" customHeight="1" x14ac:dyDescent="0.25">
      <c r="A251" s="378" t="s">
        <v>770</v>
      </c>
    </row>
    <row r="252" spans="1:10" s="43" customFormat="1" ht="15.95" customHeight="1" x14ac:dyDescent="0.25">
      <c r="B252" s="43" t="s">
        <v>324</v>
      </c>
    </row>
    <row r="253" spans="1:10" s="43" customFormat="1" ht="15.95" customHeight="1" x14ac:dyDescent="0.25">
      <c r="B253" s="43" t="s">
        <v>765</v>
      </c>
    </row>
    <row r="254" spans="1:10" s="43" customFormat="1" ht="15.95" customHeight="1" x14ac:dyDescent="0.25">
      <c r="H254" s="158"/>
      <c r="I254" s="48"/>
    </row>
    <row r="255" spans="1:10" s="43" customFormat="1" ht="15.95" customHeight="1" x14ac:dyDescent="0.25">
      <c r="C255" s="156">
        <f>'Os juros sobre juros'!$E$90</f>
        <v>4872.1100690184885</v>
      </c>
      <c r="D255" s="159" t="s">
        <v>925</v>
      </c>
      <c r="H255" s="158"/>
      <c r="I255" s="48"/>
    </row>
    <row r="256" spans="1:10" s="43" customFormat="1" ht="15.95" customHeight="1" x14ac:dyDescent="0.25">
      <c r="J256" s="372"/>
    </row>
    <row r="257" spans="2:10" s="43" customFormat="1" ht="15.95" customHeight="1" x14ac:dyDescent="0.25">
      <c r="B257" s="43" t="s">
        <v>300</v>
      </c>
    </row>
    <row r="258" spans="2:10" s="43" customFormat="1" ht="15.95" customHeight="1" x14ac:dyDescent="0.25">
      <c r="B258" s="43" t="s">
        <v>651</v>
      </c>
    </row>
    <row r="259" spans="2:10" s="43" customFormat="1" ht="15.95" customHeight="1" x14ac:dyDescent="0.25">
      <c r="B259" s="43" t="s">
        <v>766</v>
      </c>
    </row>
    <row r="260" spans="2:10" s="43" customFormat="1" ht="15.95" customHeight="1" x14ac:dyDescent="0.25">
      <c r="B260" s="43" t="s">
        <v>767</v>
      </c>
    </row>
    <row r="261" spans="2:10" s="43" customFormat="1" ht="15.95" customHeight="1" x14ac:dyDescent="0.25">
      <c r="B261" s="43" t="s">
        <v>652</v>
      </c>
    </row>
    <row r="262" spans="2:10" s="43" customFormat="1" ht="15.95" customHeight="1" x14ac:dyDescent="0.25">
      <c r="H262" s="158"/>
      <c r="I262" s="48"/>
    </row>
    <row r="263" spans="2:10" s="43" customFormat="1" ht="15.95" customHeight="1" x14ac:dyDescent="0.25">
      <c r="C263" s="157">
        <f ca="1">$E$109</f>
        <v>4872.1100690185067</v>
      </c>
      <c r="D263" s="373" t="s">
        <v>926</v>
      </c>
      <c r="H263" s="158"/>
      <c r="I263" s="48"/>
    </row>
    <row r="264" spans="2:10" s="43" customFormat="1" ht="15.95" customHeight="1" x14ac:dyDescent="0.25">
      <c r="H264" s="158"/>
      <c r="I264" s="48"/>
      <c r="J264" s="372"/>
    </row>
    <row r="265" spans="2:10" s="43" customFormat="1" ht="15.95" customHeight="1" x14ac:dyDescent="0.25">
      <c r="B265" s="43" t="s">
        <v>397</v>
      </c>
      <c r="H265" s="158"/>
      <c r="I265" s="48"/>
    </row>
    <row r="266" spans="2:10" s="43" customFormat="1" ht="15.95" customHeight="1" x14ac:dyDescent="0.25">
      <c r="B266" s="43" t="s">
        <v>398</v>
      </c>
      <c r="H266" s="158"/>
      <c r="I266" s="48"/>
    </row>
    <row r="267" spans="2:10" s="43" customFormat="1" ht="15.95" customHeight="1" x14ac:dyDescent="0.25">
      <c r="B267" s="43" t="s">
        <v>399</v>
      </c>
      <c r="H267" s="158"/>
      <c r="I267" s="48"/>
    </row>
    <row r="268" spans="2:10" s="43" customFormat="1" ht="15.95" customHeight="1" x14ac:dyDescent="0.25">
      <c r="B268" s="43" t="s">
        <v>400</v>
      </c>
      <c r="H268" s="158"/>
      <c r="I268" s="48"/>
    </row>
    <row r="269" spans="2:10" s="43" customFormat="1" ht="15.95" customHeight="1" x14ac:dyDescent="0.25">
      <c r="H269" s="158"/>
      <c r="I269" s="48"/>
    </row>
    <row r="270" spans="2:10" s="43" customFormat="1" ht="15.95" customHeight="1" x14ac:dyDescent="0.25">
      <c r="B270" s="43" t="s">
        <v>215</v>
      </c>
      <c r="H270" s="158"/>
      <c r="I270" s="48"/>
    </row>
    <row r="271" spans="2:10" s="43" customFormat="1" ht="15.95" customHeight="1" x14ac:dyDescent="0.25">
      <c r="H271" s="158"/>
      <c r="I271" s="48"/>
    </row>
    <row r="272" spans="2:10" s="43" customFormat="1" ht="24.95" customHeight="1" x14ac:dyDescent="0.25">
      <c r="B272" s="390" t="s">
        <v>726</v>
      </c>
      <c r="H272" s="49"/>
      <c r="I272" s="44"/>
    </row>
    <row r="273" spans="1:6" s="43" customFormat="1" ht="20.100000000000001" customHeight="1" x14ac:dyDescent="0.25">
      <c r="B273" s="161" t="s">
        <v>186</v>
      </c>
      <c r="C273" s="162"/>
      <c r="D273" s="163"/>
      <c r="E273" s="163"/>
      <c r="F273" s="164"/>
    </row>
    <row r="274" spans="1:6" s="43" customFormat="1" ht="15.95" customHeight="1" x14ac:dyDescent="0.25">
      <c r="B274" s="307" t="s">
        <v>192</v>
      </c>
      <c r="C274" s="166"/>
      <c r="D274" s="167"/>
      <c r="E274" s="167"/>
      <c r="F274" s="168"/>
    </row>
    <row r="275" spans="1:6" s="43" customFormat="1" ht="15.95" customHeight="1" x14ac:dyDescent="0.25">
      <c r="B275" s="308" t="s">
        <v>187</v>
      </c>
      <c r="C275" s="166"/>
      <c r="D275" s="167"/>
      <c r="E275" s="167"/>
      <c r="F275" s="168"/>
    </row>
    <row r="276" spans="1:6" s="43" customFormat="1" ht="15.95" customHeight="1" x14ac:dyDescent="0.25">
      <c r="B276" s="170"/>
      <c r="C276" s="166"/>
      <c r="D276" s="167"/>
      <c r="E276" s="167"/>
      <c r="F276" s="171"/>
    </row>
    <row r="277" spans="1:6" s="43" customFormat="1" ht="20.100000000000001" customHeight="1" x14ac:dyDescent="0.25">
      <c r="B277" s="281" t="s">
        <v>24</v>
      </c>
      <c r="C277" s="281" t="s">
        <v>188</v>
      </c>
      <c r="D277" s="281" t="s">
        <v>2</v>
      </c>
      <c r="E277" s="683"/>
      <c r="F277" s="281" t="s">
        <v>189</v>
      </c>
    </row>
    <row r="278" spans="1:6" s="43" customFormat="1" ht="15.95" customHeight="1" x14ac:dyDescent="0.25">
      <c r="B278" s="179">
        <f>'Os juros sobre juros'!$E$31</f>
        <v>7076.02</v>
      </c>
      <c r="C278" s="172">
        <f>'Os juros sobre juros'!$E$33</f>
        <v>36</v>
      </c>
      <c r="D278" s="173">
        <f>'Os juros sobre juros'!$E$32</f>
        <v>3.1600000000000003E-2</v>
      </c>
      <c r="E278" s="683"/>
      <c r="F278" s="156">
        <f>'Os juros sobre juros'!$E$90</f>
        <v>4872.1100690184885</v>
      </c>
    </row>
    <row r="279" spans="1:6" s="43" customFormat="1" ht="15.95" customHeight="1" x14ac:dyDescent="0.25">
      <c r="B279" s="174"/>
      <c r="C279" s="280"/>
      <c r="D279" s="176"/>
      <c r="E279" s="280"/>
      <c r="F279" s="171"/>
    </row>
    <row r="280" spans="1:6" s="43" customFormat="1" ht="20.100000000000001" customHeight="1" x14ac:dyDescent="0.25">
      <c r="B280" s="177" t="s">
        <v>190</v>
      </c>
      <c r="C280" s="47"/>
      <c r="D280" s="167"/>
      <c r="E280" s="167"/>
      <c r="F280" s="168"/>
    </row>
    <row r="281" spans="1:6" s="43" customFormat="1" ht="15.95" customHeight="1" x14ac:dyDescent="0.25">
      <c r="B281" s="307" t="s">
        <v>191</v>
      </c>
      <c r="C281" s="47"/>
      <c r="D281" s="47"/>
      <c r="E281" s="47"/>
      <c r="F281" s="171"/>
    </row>
    <row r="282" spans="1:6" s="43" customFormat="1" ht="15.95" customHeight="1" x14ac:dyDescent="0.25">
      <c r="B282" s="309" t="s">
        <v>417</v>
      </c>
      <c r="C282" s="47"/>
      <c r="D282" s="47"/>
      <c r="E282" s="47"/>
      <c r="F282" s="171"/>
    </row>
    <row r="283" spans="1:6" s="43" customFormat="1" ht="15.95" customHeight="1" x14ac:dyDescent="0.25">
      <c r="B283" s="170"/>
      <c r="C283" s="47"/>
      <c r="D283" s="47"/>
      <c r="E283" s="47"/>
      <c r="F283" s="171"/>
    </row>
    <row r="284" spans="1:6" s="43" customFormat="1" ht="20.100000000000001" customHeight="1" x14ac:dyDescent="0.25">
      <c r="B284" s="281" t="s">
        <v>24</v>
      </c>
      <c r="C284" s="281" t="s">
        <v>188</v>
      </c>
      <c r="D284" s="281" t="s">
        <v>2</v>
      </c>
      <c r="E284" s="683"/>
      <c r="F284" s="281" t="s">
        <v>189</v>
      </c>
    </row>
    <row r="285" spans="1:6" s="43" customFormat="1" ht="15.95" customHeight="1" x14ac:dyDescent="0.25">
      <c r="B285" s="179">
        <f>'Os juros sobre juros'!$E$31</f>
        <v>7076.02</v>
      </c>
      <c r="C285" s="172">
        <f>'Os juros sobre juros'!$E$33</f>
        <v>36</v>
      </c>
      <c r="D285" s="173">
        <f>'Os juros sobre juros'!$E$32</f>
        <v>3.1600000000000003E-2</v>
      </c>
      <c r="E285" s="684"/>
      <c r="F285" s="157">
        <f ca="1">$E$109</f>
        <v>4872.1100690185067</v>
      </c>
    </row>
    <row r="286" spans="1:6" s="43" customFormat="1" ht="15.95" customHeight="1" x14ac:dyDescent="0.25"/>
    <row r="287" spans="1:6" s="43" customFormat="1" ht="24.95" customHeight="1" x14ac:dyDescent="0.25">
      <c r="A287" s="378" t="s">
        <v>771</v>
      </c>
    </row>
    <row r="288" spans="1:6" s="43" customFormat="1" ht="15.95" customHeight="1" x14ac:dyDescent="0.25"/>
    <row r="289" spans="1:2" s="43" customFormat="1" ht="24.95" customHeight="1" x14ac:dyDescent="0.25">
      <c r="A289" s="380" t="s">
        <v>772</v>
      </c>
    </row>
    <row r="290" spans="1:2" s="43" customFormat="1" ht="15.95" customHeight="1" x14ac:dyDescent="0.25">
      <c r="B290" s="43" t="s">
        <v>654</v>
      </c>
    </row>
    <row r="291" spans="1:2" s="43" customFormat="1" ht="15.95" customHeight="1" x14ac:dyDescent="0.25">
      <c r="B291" s="43" t="s">
        <v>655</v>
      </c>
    </row>
    <row r="292" spans="1:2" s="43" customFormat="1" ht="15.95" customHeight="1" x14ac:dyDescent="0.25"/>
    <row r="293" spans="1:2" s="43" customFormat="1" ht="15.95" customHeight="1" x14ac:dyDescent="0.25">
      <c r="B293" s="43" t="s">
        <v>656</v>
      </c>
    </row>
    <row r="294" spans="1:2" s="43" customFormat="1" ht="15.95" customHeight="1" x14ac:dyDescent="0.25">
      <c r="B294" s="43" t="s">
        <v>657</v>
      </c>
    </row>
    <row r="295" spans="1:2" s="43" customFormat="1" ht="15.95" customHeight="1" x14ac:dyDescent="0.25">
      <c r="B295" s="43" t="s">
        <v>658</v>
      </c>
    </row>
    <row r="296" spans="1:2" s="43" customFormat="1" ht="15.95" customHeight="1" x14ac:dyDescent="0.25">
      <c r="B296" s="43" t="s">
        <v>659</v>
      </c>
    </row>
    <row r="297" spans="1:2" s="43" customFormat="1" ht="15.95" customHeight="1" x14ac:dyDescent="0.25">
      <c r="B297" s="43" t="s">
        <v>718</v>
      </c>
    </row>
    <row r="298" spans="1:2" s="43" customFormat="1" ht="15.95" customHeight="1" x14ac:dyDescent="0.25">
      <c r="B298" s="43" t="s">
        <v>944</v>
      </c>
    </row>
    <row r="299" spans="1:2" s="43" customFormat="1" ht="15.95" customHeight="1" x14ac:dyDescent="0.25"/>
    <row r="300" spans="1:2" s="43" customFormat="1" ht="15.95" customHeight="1" x14ac:dyDescent="0.25">
      <c r="B300" s="43" t="s">
        <v>886</v>
      </c>
    </row>
    <row r="301" spans="1:2" s="43" customFormat="1" ht="15.95" customHeight="1" x14ac:dyDescent="0.25">
      <c r="B301" s="43" t="s">
        <v>888</v>
      </c>
    </row>
    <row r="302" spans="1:2" s="43" customFormat="1" ht="15.95" customHeight="1" x14ac:dyDescent="0.25">
      <c r="B302" s="43" t="s">
        <v>657</v>
      </c>
    </row>
    <row r="303" spans="1:2" s="43" customFormat="1" ht="15.95" customHeight="1" x14ac:dyDescent="0.25">
      <c r="B303" s="43" t="s">
        <v>660</v>
      </c>
    </row>
    <row r="304" spans="1:2" s="43" customFormat="1" ht="15.95" customHeight="1" x14ac:dyDescent="0.25">
      <c r="B304" s="43" t="s">
        <v>661</v>
      </c>
    </row>
    <row r="305" spans="1:11" s="43" customFormat="1" ht="15.95" customHeight="1" x14ac:dyDescent="0.25">
      <c r="B305" s="43" t="s">
        <v>662</v>
      </c>
    </row>
    <row r="306" spans="1:11" s="43" customFormat="1" ht="15.95" customHeight="1" x14ac:dyDescent="0.25">
      <c r="B306" s="43" t="s">
        <v>663</v>
      </c>
    </row>
    <row r="307" spans="1:11" s="43" customFormat="1" ht="15.95" customHeight="1" x14ac:dyDescent="0.25">
      <c r="B307" s="43" t="s">
        <v>778</v>
      </c>
    </row>
    <row r="308" spans="1:11" s="38" customFormat="1" ht="15.95" customHeight="1" x14ac:dyDescent="0.25">
      <c r="B308" s="311"/>
      <c r="C308" s="311"/>
      <c r="D308" s="312"/>
      <c r="E308" s="312"/>
      <c r="F308" s="312"/>
      <c r="G308" s="313"/>
      <c r="H308" s="312"/>
      <c r="I308" s="313"/>
      <c r="J308" s="312"/>
      <c r="K308" s="313"/>
    </row>
    <row r="309" spans="1:11" s="289" customFormat="1" ht="24.95" customHeight="1" x14ac:dyDescent="0.25">
      <c r="A309" s="380" t="s">
        <v>773</v>
      </c>
      <c r="D309" s="310"/>
      <c r="E309" s="310"/>
      <c r="F309" s="310"/>
      <c r="G309" s="310"/>
      <c r="H309" s="310"/>
      <c r="I309" s="310"/>
      <c r="J309" s="310"/>
      <c r="K309" s="310"/>
    </row>
    <row r="310" spans="1:11" s="38" customFormat="1" ht="15.95" customHeight="1" x14ac:dyDescent="0.25">
      <c r="B310" s="119" t="s">
        <v>883</v>
      </c>
      <c r="D310" s="40"/>
      <c r="E310" s="40"/>
      <c r="F310" s="40"/>
      <c r="G310" s="40"/>
      <c r="H310" s="40"/>
      <c r="I310" s="40"/>
      <c r="J310" s="40"/>
      <c r="K310" s="40"/>
    </row>
    <row r="311" spans="1:11" s="38" customFormat="1" ht="15.95" customHeight="1" x14ac:dyDescent="0.25">
      <c r="B311" s="119" t="s">
        <v>882</v>
      </c>
      <c r="D311" s="40"/>
      <c r="E311" s="40"/>
      <c r="F311" s="40"/>
      <c r="G311" s="40"/>
      <c r="H311" s="40"/>
      <c r="I311" s="40"/>
      <c r="J311" s="40"/>
      <c r="K311" s="40"/>
    </row>
    <row r="312" spans="1:11" s="38" customFormat="1" ht="15.95" customHeight="1" x14ac:dyDescent="0.25">
      <c r="B312" s="119" t="s">
        <v>897</v>
      </c>
      <c r="D312" s="40"/>
      <c r="E312" s="40"/>
      <c r="F312" s="40"/>
      <c r="G312" s="40"/>
      <c r="H312" s="40"/>
      <c r="I312" s="40"/>
      <c r="J312" s="40"/>
      <c r="K312" s="40"/>
    </row>
    <row r="313" spans="1:11" s="38" customFormat="1" ht="15.95" customHeight="1" x14ac:dyDescent="0.25">
      <c r="B313" s="119" t="s">
        <v>896</v>
      </c>
      <c r="D313" s="40"/>
      <c r="E313" s="40"/>
      <c r="F313" s="40"/>
      <c r="G313" s="40"/>
      <c r="H313" s="40"/>
      <c r="I313" s="40"/>
      <c r="J313" s="40"/>
      <c r="K313" s="40"/>
    </row>
    <row r="314" spans="1:11" s="38" customFormat="1" ht="15.95" customHeight="1" x14ac:dyDescent="0.25">
      <c r="B314" s="119" t="s">
        <v>898</v>
      </c>
      <c r="D314" s="40"/>
      <c r="E314" s="40"/>
      <c r="F314" s="40"/>
      <c r="G314" s="40"/>
      <c r="H314" s="40"/>
      <c r="I314" s="40"/>
      <c r="J314" s="40"/>
      <c r="K314" s="40"/>
    </row>
    <row r="315" spans="1:11" s="38" customFormat="1" ht="15.95" customHeight="1" x14ac:dyDescent="0.25">
      <c r="B315" s="119" t="s">
        <v>884</v>
      </c>
      <c r="D315" s="40"/>
      <c r="E315" s="40"/>
      <c r="F315" s="40"/>
      <c r="G315" s="40"/>
      <c r="H315" s="40"/>
      <c r="I315" s="40"/>
      <c r="J315" s="40"/>
      <c r="K315" s="40"/>
    </row>
    <row r="316" spans="1:11" s="38" customFormat="1" ht="15.95" customHeight="1" x14ac:dyDescent="0.25">
      <c r="A316" s="80"/>
      <c r="B316" s="38" t="s">
        <v>485</v>
      </c>
    </row>
    <row r="317" spans="1:11" s="38" customFormat="1" ht="15.95" customHeight="1" x14ac:dyDescent="0.25">
      <c r="B317" s="311"/>
      <c r="C317" s="312"/>
      <c r="D317" s="312"/>
      <c r="E317" s="312"/>
      <c r="F317" s="313"/>
      <c r="G317" s="312"/>
      <c r="H317" s="313"/>
      <c r="I317" s="312"/>
      <c r="J317" s="313"/>
    </row>
    <row r="318" spans="1:11" s="38" customFormat="1" ht="24.95" customHeight="1" x14ac:dyDescent="0.25">
      <c r="B318" s="390" t="s">
        <v>131</v>
      </c>
    </row>
    <row r="319" spans="1:11" s="38" customFormat="1" ht="15.95" customHeight="1" x14ac:dyDescent="0.25">
      <c r="B319" s="521" t="s">
        <v>19</v>
      </c>
      <c r="C319" s="524" t="s">
        <v>318</v>
      </c>
      <c r="D319" s="525"/>
      <c r="E319" s="525"/>
      <c r="F319" s="526"/>
      <c r="G319" s="524" t="s">
        <v>319</v>
      </c>
      <c r="H319" s="525"/>
      <c r="I319" s="525"/>
      <c r="J319" s="526"/>
      <c r="K319" s="313"/>
    </row>
    <row r="320" spans="1:11" s="38" customFormat="1" ht="15.95" customHeight="1" x14ac:dyDescent="0.25">
      <c r="B320" s="522"/>
      <c r="C320" s="523" t="s">
        <v>31</v>
      </c>
      <c r="D320" s="523"/>
      <c r="E320" s="523"/>
      <c r="F320" s="523"/>
      <c r="G320" s="485" t="s">
        <v>152</v>
      </c>
      <c r="H320" s="485"/>
      <c r="I320" s="485"/>
      <c r="J320" s="485"/>
      <c r="K320" s="313"/>
    </row>
    <row r="321" spans="2:11" s="38" customFormat="1" ht="15.95" customHeight="1" x14ac:dyDescent="0.25">
      <c r="B321" s="523"/>
      <c r="C321" s="279" t="s">
        <v>17</v>
      </c>
      <c r="D321" s="278" t="s">
        <v>20</v>
      </c>
      <c r="E321" s="279" t="s">
        <v>35</v>
      </c>
      <c r="F321" s="279" t="s">
        <v>22</v>
      </c>
      <c r="G321" s="278" t="s">
        <v>25</v>
      </c>
      <c r="H321" s="279" t="s">
        <v>22</v>
      </c>
      <c r="I321" s="278" t="s">
        <v>26</v>
      </c>
      <c r="J321" s="279" t="s">
        <v>22</v>
      </c>
      <c r="K321" s="313"/>
    </row>
    <row r="322" spans="2:11" s="38" customFormat="1" ht="15.95" customHeight="1" x14ac:dyDescent="0.25">
      <c r="B322" s="98">
        <v>1</v>
      </c>
      <c r="C322" s="125">
        <f>'Os juros sobre juros'!$C$111</f>
        <v>331.89250191718025</v>
      </c>
      <c r="D322" s="125">
        <f>'Os juros sobre juros'!$D$111</f>
        <v>321.72596153274549</v>
      </c>
      <c r="E322" s="125">
        <f>'Os juros sobre juros'!$E$111</f>
        <v>10.166540384434768</v>
      </c>
      <c r="F322" s="140">
        <f>'Os juros sobre juros'!$F$111</f>
        <v>3.1600000000000031E-2</v>
      </c>
      <c r="G322" s="125">
        <f>'Os juros sobre juros'!$G$111</f>
        <v>10.166540384434759</v>
      </c>
      <c r="H322" s="140">
        <f>'Os juros sobre juros'!$H$111</f>
        <v>3.1600000000000003E-2</v>
      </c>
      <c r="I322" s="125">
        <f>'Os juros sobre juros'!$I$111</f>
        <v>0</v>
      </c>
      <c r="J322" s="140">
        <f>'Os juros sobre juros'!$J$111</f>
        <v>0</v>
      </c>
      <c r="K322" s="313"/>
    </row>
    <row r="323" spans="2:11" s="38" customFormat="1" ht="15.95" customHeight="1" x14ac:dyDescent="0.25">
      <c r="B323" s="132">
        <f>B322+1</f>
        <v>2</v>
      </c>
      <c r="C323" s="125">
        <f>'Os juros sobre juros'!$C$112</f>
        <v>331.89250191718025</v>
      </c>
      <c r="D323" s="125">
        <f>'Os juros sobre juros'!$D$112</f>
        <v>311.87084289719411</v>
      </c>
      <c r="E323" s="125">
        <f>'Os juros sobre juros'!$E$112</f>
        <v>20.021659019986146</v>
      </c>
      <c r="F323" s="140">
        <f>'Os juros sobre juros'!$F$112</f>
        <v>6.4198560000000182E-2</v>
      </c>
      <c r="G323" s="125">
        <f>'Os juros sobre juros'!$G$112</f>
        <v>19.71023727110267</v>
      </c>
      <c r="H323" s="140">
        <f>'Os juros sobre juros'!$H$112</f>
        <v>6.3200000000000006E-2</v>
      </c>
      <c r="I323" s="125">
        <f>'Os juros sobre juros'!$I$112</f>
        <v>0.3114217488834754</v>
      </c>
      <c r="J323" s="140">
        <f>'Os juros sobre juros'!$J$112</f>
        <v>9.9856000000017077E-4</v>
      </c>
      <c r="K323" s="313"/>
    </row>
    <row r="324" spans="2:11" s="38" customFormat="1" ht="15.95" customHeight="1" x14ac:dyDescent="0.25">
      <c r="B324" s="132">
        <f t="shared" ref="B324" si="11">B323+1</f>
        <v>3</v>
      </c>
      <c r="C324" s="125">
        <f>'Os juros sobre juros'!$C$113</f>
        <v>331.89250191718025</v>
      </c>
      <c r="D324" s="125">
        <f>'Os juros sobre juros'!$D$113</f>
        <v>302.31760653082017</v>
      </c>
      <c r="E324" s="125">
        <f>'Os juros sobre juros'!$E$113</f>
        <v>29.574895386360083</v>
      </c>
      <c r="F324" s="140">
        <f>'Os juros sobre juros'!$F$113</f>
        <v>9.7827234496000254E-2</v>
      </c>
      <c r="G324" s="125">
        <f>'Os juros sobre juros'!$G$113</f>
        <v>28.659709099121756</v>
      </c>
      <c r="H324" s="140">
        <f>'Os juros sobre juros'!$H$113</f>
        <v>9.4800000000000009E-2</v>
      </c>
      <c r="I324" s="125">
        <f>'Os juros sobre juros'!$I$113</f>
        <v>0.91518628723832762</v>
      </c>
      <c r="J324" s="140">
        <f>'Os juros sobre juros'!$J$113</f>
        <v>3.0272344960002445E-3</v>
      </c>
      <c r="K324" s="313"/>
    </row>
    <row r="325" spans="2:11" s="38" customFormat="1" ht="15.95" customHeight="1" x14ac:dyDescent="0.25">
      <c r="B325" s="132" t="s">
        <v>307</v>
      </c>
      <c r="C325" s="125" t="s">
        <v>307</v>
      </c>
      <c r="D325" s="125" t="s">
        <v>307</v>
      </c>
      <c r="E325" s="125" t="s">
        <v>307</v>
      </c>
      <c r="F325" s="125" t="s">
        <v>307</v>
      </c>
      <c r="G325" s="125" t="s">
        <v>307</v>
      </c>
      <c r="H325" s="125" t="s">
        <v>307</v>
      </c>
      <c r="I325" s="125" t="s">
        <v>307</v>
      </c>
      <c r="J325" s="125" t="s">
        <v>307</v>
      </c>
      <c r="K325" s="313"/>
    </row>
    <row r="326" spans="2:11" s="38" customFormat="1" ht="15.95" customHeight="1" x14ac:dyDescent="0.25">
      <c r="B326" s="132">
        <f ca="1">INDIRECT(ADDRESS((ROW('Os juros sobre juros'!$B$147)-1),2,,,"Os juros sobre juros"))</f>
        <v>36</v>
      </c>
      <c r="C326" s="125">
        <f ca="1">INDIRECT(ADDRESS((ROW('Os juros sobre juros'!$C$147)-1),3,,,"Os juros sobre juros"))</f>
        <v>331.89250191718025</v>
      </c>
      <c r="D326" s="125">
        <f ca="1">INDIRECT(ADDRESS((ROW('Os juros sobre juros'!$D$147)-1),4,,,"Os juros sobre juros"))</f>
        <v>108.29026991718021</v>
      </c>
      <c r="E326" s="125">
        <f ca="1">INDIRECT(ADDRESS((ROW('Os juros sobre juros'!$E$147)-1),5,,,"Os juros sobre juros"))</f>
        <v>223.60223200000004</v>
      </c>
      <c r="F326" s="140">
        <f ca="1">INDIRECT(ADDRESS((ROW('Os juros sobre juros'!$F$147)-1),6,,,"Os juros sobre juros"))</f>
        <v>2.0648413949933802</v>
      </c>
      <c r="G326" s="125">
        <f ca="1">INDIRECT(ADDRESS((ROW('Os juros sobre juros'!$G$147)-1),7,,,"Os juros sobre juros"))</f>
        <v>123.19101105778422</v>
      </c>
      <c r="H326" s="140">
        <f ca="1">INDIRECT(ADDRESS((ROW('Os juros sobre juros'!$H$147)-1),8,,,"Os juros sobre juros"))</f>
        <v>1.1376000000000002</v>
      </c>
      <c r="I326" s="125">
        <f ca="1">INDIRECT(ADDRESS((ROW('Os juros sobre juros'!$I$147)-1),9,,,"Os juros sobre juros"))</f>
        <v>100.41122094221582</v>
      </c>
      <c r="J326" s="140">
        <f ca="1">INDIRECT(ADDRESS((ROW('Os juros sobre juros'!$J$147)-1),10,,,"Os juros sobre juros"))</f>
        <v>0.92724139499337987</v>
      </c>
      <c r="K326" s="313"/>
    </row>
    <row r="327" spans="2:11" s="38" customFormat="1" ht="15.95" customHeight="1" x14ac:dyDescent="0.25">
      <c r="B327" s="279" t="str">
        <f>'Os juros sobre juros'!$B$147</f>
        <v>Total</v>
      </c>
      <c r="C327" s="133">
        <f ca="1">'Os juros sobre juros'!$C$147</f>
        <v>11948.130069018489</v>
      </c>
      <c r="D327" s="133">
        <f ca="1">'Os juros sobre juros'!$D$147</f>
        <v>7076.0199999999886</v>
      </c>
      <c r="E327" s="133">
        <f ca="1">'Os juros sobre juros'!$E$147</f>
        <v>4872.1100690184994</v>
      </c>
      <c r="F327" s="314"/>
      <c r="G327" s="133">
        <f ca="1">'Os juros sobre juros'!$G$147</f>
        <v>3401.1725149814979</v>
      </c>
      <c r="H327" s="314"/>
      <c r="I327" s="133">
        <f ca="1">'Os juros sobre juros'!$I$147</f>
        <v>1470.9375540370008</v>
      </c>
      <c r="J327" s="314"/>
      <c r="K327" s="313"/>
    </row>
    <row r="328" spans="2:11" s="38" customFormat="1" ht="15.95" customHeight="1" x14ac:dyDescent="0.25">
      <c r="B328" s="311"/>
      <c r="C328" s="311"/>
      <c r="D328" s="312"/>
      <c r="E328" s="312"/>
      <c r="F328" s="312"/>
      <c r="G328" s="313"/>
      <c r="H328" s="312"/>
      <c r="I328" s="313"/>
      <c r="J328" s="312"/>
      <c r="K328" s="313"/>
    </row>
    <row r="329" spans="2:11" s="38" customFormat="1" ht="24.95" customHeight="1" x14ac:dyDescent="0.25">
      <c r="B329" s="384" t="s">
        <v>451</v>
      </c>
      <c r="C329" s="315"/>
      <c r="D329" s="315"/>
      <c r="E329" s="315"/>
      <c r="F329" s="316"/>
      <c r="G329" s="315"/>
      <c r="H329" s="316"/>
      <c r="I329" s="315"/>
      <c r="J329" s="312"/>
      <c r="K329" s="313"/>
    </row>
    <row r="330" spans="2:11" s="38" customFormat="1" ht="15.95" customHeight="1" x14ac:dyDescent="0.25">
      <c r="B330" s="317" t="s">
        <v>899</v>
      </c>
      <c r="C330" s="312"/>
      <c r="D330" s="312"/>
      <c r="E330" s="312"/>
      <c r="F330" s="313"/>
      <c r="G330" s="312"/>
      <c r="H330" s="313"/>
      <c r="I330" s="312"/>
      <c r="J330" s="312"/>
      <c r="K330" s="313"/>
    </row>
    <row r="331" spans="2:11" s="38" customFormat="1" ht="15.95" customHeight="1" x14ac:dyDescent="0.25">
      <c r="B331" s="43" t="s">
        <v>435</v>
      </c>
      <c r="C331" s="312"/>
      <c r="D331" s="312"/>
      <c r="E331" s="312"/>
      <c r="F331" s="313"/>
      <c r="G331" s="312"/>
      <c r="H331" s="313"/>
      <c r="I331" s="312"/>
      <c r="J331" s="312"/>
      <c r="K331" s="313"/>
    </row>
    <row r="332" spans="2:11" s="38" customFormat="1" ht="15.95" customHeight="1" x14ac:dyDescent="0.25">
      <c r="B332" s="318"/>
      <c r="C332" s="319" t="s">
        <v>436</v>
      </c>
      <c r="D332" s="312"/>
      <c r="E332" s="312"/>
      <c r="F332" s="313"/>
      <c r="G332" s="312"/>
      <c r="H332" s="125">
        <f>$C$322</f>
        <v>331.89250191718025</v>
      </c>
      <c r="I332" s="312"/>
      <c r="J332" s="312"/>
      <c r="K332" s="313"/>
    </row>
    <row r="333" spans="2:11" s="38" customFormat="1" ht="15.95" customHeight="1" x14ac:dyDescent="0.25">
      <c r="B333" s="318"/>
      <c r="C333" s="319" t="s">
        <v>437</v>
      </c>
      <c r="D333" s="312"/>
      <c r="E333" s="312"/>
      <c r="F333" s="313"/>
      <c r="G333" s="312"/>
      <c r="H333" s="125">
        <f>$D$322</f>
        <v>321.72596153274549</v>
      </c>
      <c r="I333" s="312"/>
      <c r="J333" s="313"/>
    </row>
    <row r="334" spans="2:11" s="289" customFormat="1" ht="20.100000000000001" customHeight="1" x14ac:dyDescent="0.25">
      <c r="B334" s="318"/>
      <c r="C334" s="319" t="s">
        <v>450</v>
      </c>
      <c r="D334" s="312"/>
      <c r="E334" s="312"/>
      <c r="F334" s="313"/>
      <c r="G334" s="312"/>
      <c r="H334" s="125">
        <f>$E$322</f>
        <v>10.166540384434768</v>
      </c>
      <c r="I334" s="312"/>
      <c r="K334" s="316"/>
    </row>
    <row r="335" spans="2:11" s="38" customFormat="1" ht="15.95" customHeight="1" x14ac:dyDescent="0.25">
      <c r="B335" s="318"/>
      <c r="C335" s="43" t="s">
        <v>428</v>
      </c>
      <c r="D335" s="312"/>
      <c r="E335" s="312"/>
      <c r="F335" s="313"/>
      <c r="G335" s="312"/>
      <c r="H335" s="125">
        <f>$G$322</f>
        <v>10.166540384434759</v>
      </c>
      <c r="I335" s="144" t="s">
        <v>25</v>
      </c>
      <c r="K335" s="313"/>
    </row>
    <row r="336" spans="2:11" s="38" customFormat="1" ht="15.95" customHeight="1" x14ac:dyDescent="0.25">
      <c r="B336" s="318"/>
      <c r="C336" s="312"/>
      <c r="D336" s="312"/>
      <c r="E336" s="312"/>
      <c r="F336" s="313"/>
      <c r="G336" s="312"/>
      <c r="H336" s="125">
        <f>$I$322</f>
        <v>0</v>
      </c>
      <c r="I336" s="144" t="s">
        <v>26</v>
      </c>
    </row>
    <row r="337" spans="2:11" s="38" customFormat="1" ht="15.95" customHeight="1" x14ac:dyDescent="0.25">
      <c r="B337" s="317" t="s">
        <v>900</v>
      </c>
      <c r="C337" s="312"/>
      <c r="D337" s="312"/>
      <c r="E337" s="312"/>
      <c r="F337" s="313"/>
      <c r="G337" s="312"/>
      <c r="H337" s="313"/>
      <c r="I337" s="312"/>
      <c r="K337" s="313"/>
    </row>
    <row r="338" spans="2:11" s="38" customFormat="1" ht="15.95" customHeight="1" x14ac:dyDescent="0.25">
      <c r="B338" s="43" t="s">
        <v>438</v>
      </c>
      <c r="C338" s="312"/>
      <c r="D338" s="312"/>
      <c r="E338" s="312"/>
      <c r="F338" s="313"/>
      <c r="G338" s="312"/>
      <c r="H338" s="313"/>
      <c r="I338" s="312"/>
      <c r="K338" s="313"/>
    </row>
    <row r="339" spans="2:11" s="38" customFormat="1" ht="15.95" customHeight="1" x14ac:dyDescent="0.25">
      <c r="B339" s="318"/>
      <c r="C339" s="319" t="s">
        <v>436</v>
      </c>
      <c r="D339" s="312"/>
      <c r="E339" s="312"/>
      <c r="F339" s="313"/>
      <c r="G339" s="312"/>
      <c r="H339" s="125">
        <f>C323</f>
        <v>331.89250191718025</v>
      </c>
      <c r="I339" s="312"/>
      <c r="K339" s="313"/>
    </row>
    <row r="340" spans="2:11" s="38" customFormat="1" ht="15.95" customHeight="1" x14ac:dyDescent="0.25">
      <c r="B340" s="318"/>
      <c r="C340" s="319" t="s">
        <v>437</v>
      </c>
      <c r="D340" s="312"/>
      <c r="E340" s="312"/>
      <c r="F340" s="313"/>
      <c r="G340" s="312"/>
      <c r="H340" s="125">
        <f>D323</f>
        <v>311.87084289719411</v>
      </c>
      <c r="I340" s="312"/>
      <c r="K340" s="313"/>
    </row>
    <row r="341" spans="2:11" s="38" customFormat="1" ht="15.95" customHeight="1" x14ac:dyDescent="0.25">
      <c r="B341" s="318"/>
      <c r="C341" s="319" t="s">
        <v>450</v>
      </c>
      <c r="D341" s="312"/>
      <c r="E341" s="312"/>
      <c r="F341" s="313"/>
      <c r="G341" s="312"/>
      <c r="H341" s="125">
        <f>E323</f>
        <v>20.021659019986146</v>
      </c>
      <c r="I341" s="312"/>
      <c r="K341" s="313"/>
    </row>
    <row r="342" spans="2:11" s="38" customFormat="1" ht="15.95" customHeight="1" x14ac:dyDescent="0.25">
      <c r="B342" s="318"/>
      <c r="C342" s="43" t="s">
        <v>719</v>
      </c>
      <c r="D342" s="312"/>
      <c r="E342" s="312"/>
      <c r="F342" s="313"/>
      <c r="G342" s="312"/>
      <c r="H342" s="125">
        <f>G323</f>
        <v>19.71023727110267</v>
      </c>
      <c r="I342" s="144" t="s">
        <v>25</v>
      </c>
    </row>
    <row r="343" spans="2:11" s="38" customFormat="1" ht="15.95" customHeight="1" x14ac:dyDescent="0.25">
      <c r="B343" s="318"/>
      <c r="C343" s="43" t="s">
        <v>720</v>
      </c>
      <c r="D343" s="312"/>
      <c r="E343" s="312"/>
      <c r="F343" s="313"/>
      <c r="G343" s="312"/>
      <c r="H343" s="125">
        <f>I323</f>
        <v>0.3114217488834754</v>
      </c>
      <c r="I343" s="144" t="s">
        <v>26</v>
      </c>
    </row>
    <row r="344" spans="2:11" s="38" customFormat="1" ht="15.95" customHeight="1" x14ac:dyDescent="0.25">
      <c r="B344" s="318"/>
      <c r="C344" s="312"/>
      <c r="D344" s="312"/>
      <c r="E344" s="312"/>
      <c r="F344" s="313"/>
      <c r="G344" s="312"/>
      <c r="H344" s="130"/>
      <c r="I344" s="144"/>
    </row>
    <row r="345" spans="2:11" s="38" customFormat="1" ht="15.95" customHeight="1" x14ac:dyDescent="0.25">
      <c r="B345" s="43" t="s">
        <v>337</v>
      </c>
      <c r="C345" s="43"/>
      <c r="D345" s="43"/>
      <c r="E345" s="43"/>
      <c r="F345" s="43"/>
      <c r="G345" s="43"/>
      <c r="H345" s="43"/>
      <c r="I345" s="43"/>
    </row>
    <row r="346" spans="2:11" s="111" customFormat="1" ht="15.95" customHeight="1" x14ac:dyDescent="0.25"/>
    <row r="347" spans="2:11" s="274" customFormat="1" ht="24.95" customHeight="1" x14ac:dyDescent="0.25">
      <c r="B347" s="384" t="s">
        <v>484</v>
      </c>
    </row>
    <row r="348" spans="2:11" s="43" customFormat="1" ht="15.95" customHeight="1" x14ac:dyDescent="0.25">
      <c r="B348" s="43" t="s">
        <v>421</v>
      </c>
    </row>
    <row r="349" spans="2:11" s="43" customFormat="1" ht="15.95" customHeight="1" x14ac:dyDescent="0.25">
      <c r="B349" s="43" t="s">
        <v>422</v>
      </c>
    </row>
    <row r="350" spans="2:11" s="43" customFormat="1" ht="15.95" customHeight="1" thickBot="1" x14ac:dyDescent="0.3"/>
    <row r="351" spans="2:11" s="43" customFormat="1" ht="15.95" customHeight="1" thickTop="1" x14ac:dyDescent="0.25">
      <c r="C351" s="422"/>
      <c r="D351" s="423"/>
      <c r="E351" s="423"/>
      <c r="F351" s="424"/>
    </row>
    <row r="352" spans="2:11" s="43" customFormat="1" ht="15.95" customHeight="1" x14ac:dyDescent="0.25">
      <c r="C352" s="425" t="s">
        <v>779</v>
      </c>
      <c r="D352" s="47"/>
      <c r="E352" s="47"/>
      <c r="F352" s="426"/>
    </row>
    <row r="353" spans="1:11" s="43" customFormat="1" ht="15.95" customHeight="1" thickBot="1" x14ac:dyDescent="0.3">
      <c r="C353" s="427"/>
      <c r="D353" s="428"/>
      <c r="E353" s="428"/>
      <c r="F353" s="429"/>
    </row>
    <row r="354" spans="1:11" s="43" customFormat="1" ht="15.95" customHeight="1" thickTop="1" x14ac:dyDescent="0.25"/>
    <row r="355" spans="1:11" s="43" customFormat="1" ht="15.95" customHeight="1" x14ac:dyDescent="0.25">
      <c r="B355" s="43" t="s">
        <v>442</v>
      </c>
    </row>
    <row r="356" spans="1:11" s="43" customFormat="1" ht="15.95" customHeight="1" x14ac:dyDescent="0.25"/>
    <row r="357" spans="1:11" s="43" customFormat="1" ht="24.95" customHeight="1" x14ac:dyDescent="0.25">
      <c r="B357" s="390" t="s">
        <v>131</v>
      </c>
    </row>
    <row r="358" spans="1:11" s="43" customFormat="1" ht="20.100000000000001" customHeight="1" x14ac:dyDescent="0.25">
      <c r="B358" s="279" t="s">
        <v>19</v>
      </c>
      <c r="C358" s="399" t="s">
        <v>17</v>
      </c>
      <c r="D358" s="279" t="s">
        <v>90</v>
      </c>
      <c r="E358" s="279" t="s">
        <v>21</v>
      </c>
      <c r="F358" s="279" t="s">
        <v>22</v>
      </c>
    </row>
    <row r="359" spans="1:11" s="43" customFormat="1" ht="15.95" customHeight="1" x14ac:dyDescent="0.25">
      <c r="B359" s="623">
        <f>$B$322</f>
        <v>1</v>
      </c>
      <c r="C359" s="624">
        <f>'Os juros sobre juros'!$C$111</f>
        <v>331.89250191718025</v>
      </c>
      <c r="D359" s="624">
        <f>'Os juros sobre juros'!$D$111</f>
        <v>321.72596153274549</v>
      </c>
      <c r="E359" s="624">
        <f>'Os juros sobre juros'!$E$111</f>
        <v>10.166540384434768</v>
      </c>
      <c r="F359" s="666">
        <f>'Os juros sobre juros'!$F$111</f>
        <v>3.1600000000000031E-2</v>
      </c>
      <c r="G359" s="673" t="s">
        <v>453</v>
      </c>
      <c r="H359" s="622"/>
      <c r="I359" s="622"/>
      <c r="J359" s="622"/>
      <c r="K359" s="674"/>
    </row>
    <row r="360" spans="1:11" s="38" customFormat="1" ht="15.95" customHeight="1" x14ac:dyDescent="0.25">
      <c r="A360" s="80"/>
      <c r="B360" s="623"/>
      <c r="C360" s="624"/>
      <c r="D360" s="624"/>
      <c r="E360" s="624"/>
      <c r="F360" s="666"/>
      <c r="G360" s="675"/>
      <c r="H360" s="510"/>
      <c r="I360" s="510"/>
      <c r="J360" s="510"/>
      <c r="K360" s="676"/>
    </row>
    <row r="361" spans="1:11" s="43" customFormat="1" ht="15.95" customHeight="1" x14ac:dyDescent="0.25">
      <c r="B361" s="627">
        <f>$B$323</f>
        <v>2</v>
      </c>
      <c r="C361" s="624">
        <f>'Os juros sobre juros'!$C$112</f>
        <v>331.89250191718025</v>
      </c>
      <c r="D361" s="624">
        <f>'Os juros sobre juros'!$D$112</f>
        <v>311.87084289719411</v>
      </c>
      <c r="E361" s="624">
        <f>'Os juros sobre juros'!$E$112</f>
        <v>20.021659019986146</v>
      </c>
      <c r="F361" s="666">
        <f>'Os juros sobre juros'!$F$112</f>
        <v>6.4198560000000182E-2</v>
      </c>
      <c r="G361" s="667" t="s">
        <v>454</v>
      </c>
      <c r="H361" s="668"/>
      <c r="I361" s="668"/>
      <c r="J361" s="668"/>
      <c r="K361" s="669"/>
    </row>
    <row r="362" spans="1:11" s="38" customFormat="1" ht="15.95" customHeight="1" x14ac:dyDescent="0.25">
      <c r="A362" s="80"/>
      <c r="B362" s="627"/>
      <c r="C362" s="624"/>
      <c r="D362" s="624"/>
      <c r="E362" s="624"/>
      <c r="F362" s="666"/>
      <c r="G362" s="670"/>
      <c r="H362" s="671"/>
      <c r="I362" s="671"/>
      <c r="J362" s="671"/>
      <c r="K362" s="672"/>
    </row>
    <row r="363" spans="1:11" s="43" customFormat="1" ht="15.95" customHeight="1" x14ac:dyDescent="0.25">
      <c r="B363" s="627">
        <f>$B$324</f>
        <v>3</v>
      </c>
      <c r="C363" s="624">
        <f>'Os juros sobre juros'!$C$113</f>
        <v>331.89250191718025</v>
      </c>
      <c r="D363" s="624">
        <f>'Os juros sobre juros'!$D$113</f>
        <v>302.31760653082017</v>
      </c>
      <c r="E363" s="624">
        <f>'Os juros sobre juros'!$E$113</f>
        <v>29.574895386360083</v>
      </c>
      <c r="F363" s="666">
        <f>'Os juros sobre juros'!$F$113</f>
        <v>9.7827234496000254E-2</v>
      </c>
      <c r="G363" s="650" t="s">
        <v>455</v>
      </c>
      <c r="H363" s="651"/>
      <c r="I363" s="651"/>
      <c r="J363" s="651"/>
      <c r="K363" s="652"/>
    </row>
    <row r="364" spans="1:11" s="38" customFormat="1" ht="15.95" customHeight="1" x14ac:dyDescent="0.25">
      <c r="A364" s="80"/>
      <c r="B364" s="627"/>
      <c r="C364" s="624"/>
      <c r="D364" s="624"/>
      <c r="E364" s="624"/>
      <c r="F364" s="666"/>
      <c r="G364" s="653"/>
      <c r="H364" s="654"/>
      <c r="I364" s="654"/>
      <c r="J364" s="654"/>
      <c r="K364" s="655"/>
    </row>
    <row r="365" spans="1:11" s="43" customFormat="1" ht="15.95" customHeight="1" x14ac:dyDescent="0.25">
      <c r="B365" s="132" t="s">
        <v>307</v>
      </c>
      <c r="C365" s="125" t="s">
        <v>307</v>
      </c>
      <c r="D365" s="125" t="s">
        <v>307</v>
      </c>
      <c r="E365" s="125" t="s">
        <v>307</v>
      </c>
      <c r="F365" s="140" t="s">
        <v>307</v>
      </c>
      <c r="G365" s="437" t="s">
        <v>307</v>
      </c>
      <c r="H365" s="435"/>
      <c r="I365" s="435"/>
      <c r="J365" s="435"/>
      <c r="K365" s="436"/>
    </row>
    <row r="366" spans="1:11" s="43" customFormat="1" ht="15.95" customHeight="1" x14ac:dyDescent="0.25">
      <c r="B366" s="625">
        <f ca="1">INDIRECT(ADDRESS((ROW('Os juros sobre juros'!$C$147)-1),2,,,"Os juros sobre juros"))</f>
        <v>36</v>
      </c>
      <c r="C366" s="492">
        <f ca="1">INDIRECT(ADDRESS((ROW('Os juros sobre juros'!$C$147)-1),3,,,"Os juros sobre juros"))</f>
        <v>331.89250191718025</v>
      </c>
      <c r="D366" s="492">
        <f ca="1">INDIRECT(ADDRESS((ROW('Os juros sobre juros'!$D$147)-1),4,,,"Os juros sobre juros"))</f>
        <v>108.29026991718021</v>
      </c>
      <c r="E366" s="492">
        <f ca="1">INDIRECT(ADDRESS((ROW('Os juros sobre juros'!$E$147)-1),5,,,"Os juros sobre juros"))</f>
        <v>223.60223200000004</v>
      </c>
      <c r="F366" s="664">
        <f ca="1">INDIRECT(ADDRESS((ROW('Os juros sobre juros'!$F$147)-1),6,,,"Os juros sobre juros"))</f>
        <v>2.0648413949933802</v>
      </c>
      <c r="G366" s="650" t="str">
        <f ca="1">CONCATENATE("Na última prestação paga juros sobre ",$B$366," meses, ou seja, sobre todos os meses do contrato mais os juros sobre a capitalização até o mês anterior.")</f>
        <v>Na última prestação paga juros sobre 36 meses, ou seja, sobre todos os meses do contrato mais os juros sobre a capitalização até o mês anterior.</v>
      </c>
      <c r="H366" s="651"/>
      <c r="I366" s="651"/>
      <c r="J366" s="651"/>
      <c r="K366" s="652"/>
    </row>
    <row r="367" spans="1:11" s="38" customFormat="1" ht="15.95" customHeight="1" x14ac:dyDescent="0.25">
      <c r="A367" s="80"/>
      <c r="B367" s="626"/>
      <c r="C367" s="493"/>
      <c r="D367" s="493"/>
      <c r="E367" s="493"/>
      <c r="F367" s="665"/>
      <c r="G367" s="653"/>
      <c r="H367" s="654"/>
      <c r="I367" s="654"/>
      <c r="J367" s="654"/>
      <c r="K367" s="655"/>
    </row>
    <row r="368" spans="1:11" s="38" customFormat="1" ht="15.95" customHeight="1" x14ac:dyDescent="0.25">
      <c r="A368" s="80"/>
      <c r="B368" s="431" t="str">
        <f>'Os juros sobre juros'!$B$147</f>
        <v>Total</v>
      </c>
      <c r="C368" s="133">
        <f ca="1">'Os juros sobre juros'!$C$147</f>
        <v>11948.130069018489</v>
      </c>
      <c r="D368" s="133">
        <f ca="1">'Os juros sobre juros'!$D$147</f>
        <v>7076.0199999999886</v>
      </c>
      <c r="E368" s="133">
        <f ca="1">'Os juros sobre juros'!$E$147</f>
        <v>4872.1100690184994</v>
      </c>
    </row>
    <row r="369" spans="1:13" s="43" customFormat="1" ht="15.95" customHeight="1" x14ac:dyDescent="0.25">
      <c r="B369" s="336"/>
      <c r="C369" s="130"/>
      <c r="D369" s="130"/>
      <c r="E369" s="240"/>
      <c r="F369" s="144"/>
    </row>
    <row r="370" spans="1:13" s="43" customFormat="1" ht="15.95" customHeight="1" x14ac:dyDescent="0.25">
      <c r="B370" s="337" t="s">
        <v>666</v>
      </c>
      <c r="C370" s="130"/>
      <c r="D370" s="130"/>
      <c r="E370" s="240"/>
      <c r="F370" s="144"/>
    </row>
    <row r="371" spans="1:13" s="43" customFormat="1" ht="15.95" customHeight="1" x14ac:dyDescent="0.25">
      <c r="B371" s="337" t="s">
        <v>667</v>
      </c>
      <c r="C371" s="130"/>
      <c r="D371" s="130"/>
      <c r="E371" s="240"/>
      <c r="F371" s="144"/>
    </row>
    <row r="372" spans="1:13" s="38" customFormat="1" ht="15.95" customHeight="1" x14ac:dyDescent="0.25">
      <c r="A372" s="80"/>
    </row>
    <row r="373" spans="1:13" s="43" customFormat="1" ht="24.95" customHeight="1" x14ac:dyDescent="0.25">
      <c r="A373" s="382" t="s">
        <v>774</v>
      </c>
    </row>
    <row r="374" spans="1:13" s="111" customFormat="1" ht="15.95" customHeight="1" x14ac:dyDescent="0.25">
      <c r="A374" s="44"/>
      <c r="B374" s="111" t="s">
        <v>668</v>
      </c>
    </row>
    <row r="375" spans="1:13" s="111" customFormat="1" ht="15.95" customHeight="1" x14ac:dyDescent="0.25">
      <c r="A375" s="44"/>
      <c r="B375" s="111" t="s">
        <v>439</v>
      </c>
    </row>
    <row r="376" spans="1:13" s="111" customFormat="1" ht="15.95" customHeight="1" x14ac:dyDescent="0.25">
      <c r="A376" s="44"/>
      <c r="B376" s="111" t="s">
        <v>440</v>
      </c>
    </row>
    <row r="377" spans="1:13" s="111" customFormat="1" ht="15.95" customHeight="1" x14ac:dyDescent="0.25">
      <c r="A377" s="44"/>
      <c r="B377" s="111" t="s">
        <v>664</v>
      </c>
    </row>
    <row r="378" spans="1:13" s="111" customFormat="1" ht="15.95" customHeight="1" x14ac:dyDescent="0.25">
      <c r="B378" s="111" t="s">
        <v>665</v>
      </c>
    </row>
    <row r="379" spans="1:13" s="111" customFormat="1" ht="15.95" customHeight="1" x14ac:dyDescent="0.25">
      <c r="B379" s="111" t="s">
        <v>441</v>
      </c>
    </row>
    <row r="380" spans="1:13" s="111" customFormat="1" ht="15.95" customHeight="1" x14ac:dyDescent="0.25">
      <c r="B380" s="111" t="s">
        <v>616</v>
      </c>
    </row>
    <row r="381" spans="1:13" s="43" customFormat="1" ht="15.95" customHeight="1" x14ac:dyDescent="0.25"/>
    <row r="382" spans="1:13" s="43" customFormat="1" ht="24.95" customHeight="1" x14ac:dyDescent="0.25">
      <c r="B382" s="390" t="s">
        <v>521</v>
      </c>
      <c r="K382"/>
      <c r="L382"/>
      <c r="M382"/>
    </row>
    <row r="383" spans="1:13" s="43" customFormat="1" ht="15.95" customHeight="1" x14ac:dyDescent="0.25">
      <c r="B383" s="376" t="s">
        <v>239</v>
      </c>
      <c r="K383"/>
      <c r="L383"/>
      <c r="M383"/>
    </row>
    <row r="384" spans="1:13" s="43" customFormat="1" ht="15.95" customHeight="1" x14ac:dyDescent="0.25">
      <c r="B384" s="48"/>
      <c r="K384"/>
      <c r="L384"/>
      <c r="M384"/>
    </row>
    <row r="385" spans="2:13" s="43" customFormat="1" ht="20.100000000000001" customHeight="1" x14ac:dyDescent="0.25">
      <c r="B385" s="44"/>
      <c r="D385" s="578" t="s">
        <v>120</v>
      </c>
      <c r="E385" s="612"/>
      <c r="F385" s="612"/>
      <c r="G385" s="612"/>
      <c r="H385" s="579"/>
      <c r="K385"/>
      <c r="L385"/>
    </row>
    <row r="386" spans="2:13" ht="20.100000000000001" customHeight="1" x14ac:dyDescent="0.25">
      <c r="B386" s="1"/>
      <c r="D386" s="480" t="s">
        <v>18</v>
      </c>
      <c r="E386" s="661" t="s">
        <v>21</v>
      </c>
      <c r="F386" s="662"/>
      <c r="G386" s="663"/>
      <c r="H386" s="480" t="s">
        <v>24</v>
      </c>
      <c r="M386" s="43"/>
    </row>
    <row r="387" spans="2:13" ht="20.100000000000001" customHeight="1" x14ac:dyDescent="0.25">
      <c r="B387" s="1"/>
      <c r="D387" s="481"/>
      <c r="E387" s="57" t="s">
        <v>25</v>
      </c>
      <c r="F387" s="57" t="s">
        <v>26</v>
      </c>
      <c r="G387" s="57" t="s">
        <v>299</v>
      </c>
      <c r="H387" s="481"/>
    </row>
    <row r="388" spans="2:13" s="43" customFormat="1" ht="15.95" customHeight="1" x14ac:dyDescent="0.25">
      <c r="B388" s="44"/>
      <c r="D388" s="290">
        <f>'Os juros sobre juros'!$C$90</f>
        <v>11948.130069018489</v>
      </c>
      <c r="E388" s="290">
        <f ca="1">'Os juros sobre juros'!$G$147</f>
        <v>3401.1725149814979</v>
      </c>
      <c r="F388" s="290">
        <f ca="1">'Os juros sobre juros'!$I$147</f>
        <v>1470.9375540370008</v>
      </c>
      <c r="G388" s="290">
        <f>'Os juros sobre juros'!$E$90</f>
        <v>4872.1100690184885</v>
      </c>
      <c r="H388" s="290">
        <f>'Os juros sobre juros'!$D$90</f>
        <v>7076.02</v>
      </c>
    </row>
    <row r="389" spans="2:13" s="43" customFormat="1" ht="15.95" customHeight="1" x14ac:dyDescent="0.25">
      <c r="B389" s="110"/>
    </row>
    <row r="390" spans="2:13" s="43" customFormat="1" ht="20.100000000000001" customHeight="1" x14ac:dyDescent="0.25">
      <c r="B390" s="480" t="s">
        <v>64</v>
      </c>
      <c r="C390" s="480" t="s">
        <v>121</v>
      </c>
      <c r="D390" s="480" t="s">
        <v>17</v>
      </c>
      <c r="E390" s="482" t="s">
        <v>21</v>
      </c>
      <c r="F390" s="483"/>
      <c r="G390" s="484"/>
      <c r="H390" s="480" t="s">
        <v>90</v>
      </c>
      <c r="I390" s="480" t="s">
        <v>122</v>
      </c>
    </row>
    <row r="391" spans="2:13" s="43" customFormat="1" ht="20.100000000000001" customHeight="1" x14ac:dyDescent="0.25">
      <c r="B391" s="481"/>
      <c r="C391" s="481"/>
      <c r="D391" s="481"/>
      <c r="E391" s="281" t="s">
        <v>25</v>
      </c>
      <c r="F391" s="281" t="s">
        <v>26</v>
      </c>
      <c r="G391" s="281" t="s">
        <v>99</v>
      </c>
      <c r="H391" s="481"/>
      <c r="I391" s="481"/>
    </row>
    <row r="392" spans="2:13" s="43" customFormat="1" ht="15.95" customHeight="1" x14ac:dyDescent="0.25">
      <c r="B392" s="142">
        <v>1</v>
      </c>
      <c r="C392" s="179">
        <f>'Os juros sobre juros'!$E$31</f>
        <v>7076.02</v>
      </c>
      <c r="D392" s="179">
        <f>'Os juros sobre juros'!$E$46</f>
        <v>331.89250191718025</v>
      </c>
      <c r="E392" s="179">
        <f>'Os juros sobre juros'!$E$32*H392*B392</f>
        <v>10.166540384434759</v>
      </c>
      <c r="F392" s="179">
        <f>G392-E392</f>
        <v>0</v>
      </c>
      <c r="G392" s="179">
        <f>D392-H392</f>
        <v>10.166540384434768</v>
      </c>
      <c r="H392" s="179">
        <f>D392/POWER(1+'Os juros sobre juros'!$E$32,B392)</f>
        <v>321.72596153274549</v>
      </c>
      <c r="I392" s="179">
        <f>C392-H392</f>
        <v>6754.2940384672547</v>
      </c>
    </row>
    <row r="393" spans="2:13" s="43" customFormat="1" ht="15.95" customHeight="1" x14ac:dyDescent="0.25">
      <c r="B393" s="142">
        <f>B392+1</f>
        <v>2</v>
      </c>
      <c r="C393" s="179">
        <f>I392</f>
        <v>6754.2940384672547</v>
      </c>
      <c r="D393" s="179">
        <f>'Os juros sobre juros'!$E$46</f>
        <v>331.89250191718025</v>
      </c>
      <c r="E393" s="179">
        <f>'Os juros sobre juros'!$E$32*H393*B393</f>
        <v>19.71023727110267</v>
      </c>
      <c r="F393" s="179">
        <f>G393-E393</f>
        <v>0.3114217488834754</v>
      </c>
      <c r="G393" s="179">
        <f t="shared" ref="G393:G427" si="12">D393-H393</f>
        <v>20.021659019986146</v>
      </c>
      <c r="H393" s="179">
        <f>D393/POWER(1+'Os juros sobre juros'!$E$32,B393)</f>
        <v>311.87084289719411</v>
      </c>
      <c r="I393" s="179">
        <f>C393-H393</f>
        <v>6442.4231955700607</v>
      </c>
    </row>
    <row r="394" spans="2:13" s="43" customFormat="1" ht="15.95" customHeight="1" x14ac:dyDescent="0.25">
      <c r="B394" s="142">
        <f t="shared" ref="B394:B427" si="13">B393+1</f>
        <v>3</v>
      </c>
      <c r="C394" s="179">
        <f t="shared" ref="C394:C427" si="14">I393</f>
        <v>6442.4231955700607</v>
      </c>
      <c r="D394" s="179">
        <f>'Os juros sobre juros'!$E$46</f>
        <v>331.89250191718025</v>
      </c>
      <c r="E394" s="179">
        <f>'Os juros sobre juros'!$E$32*H394*B394</f>
        <v>28.659709099121756</v>
      </c>
      <c r="F394" s="179">
        <f t="shared" ref="F394:F427" si="15">G394-E394</f>
        <v>0.91518628723832762</v>
      </c>
      <c r="G394" s="179">
        <f t="shared" si="12"/>
        <v>29.574895386360083</v>
      </c>
      <c r="H394" s="179">
        <f>D394/POWER(1+'Os juros sobre juros'!$E$32,B394)</f>
        <v>302.31760653082017</v>
      </c>
      <c r="I394" s="179">
        <f t="shared" ref="I394:I427" si="16">C394-H394</f>
        <v>6140.1055890392408</v>
      </c>
    </row>
    <row r="395" spans="2:13" s="43" customFormat="1" ht="15.95" customHeight="1" x14ac:dyDescent="0.25">
      <c r="B395" s="142">
        <f t="shared" si="13"/>
        <v>4</v>
      </c>
      <c r="C395" s="179">
        <f t="shared" si="14"/>
        <v>6140.1055890392408</v>
      </c>
      <c r="D395" s="179">
        <f>'Os juros sobre juros'!$E$46</f>
        <v>331.89250191718025</v>
      </c>
      <c r="E395" s="179">
        <f>'Os juros sobre juros'!$E$32*H395*B395</f>
        <v>37.042405453175334</v>
      </c>
      <c r="F395" s="179">
        <f t="shared" si="15"/>
        <v>1.7930912964785506</v>
      </c>
      <c r="G395" s="179">
        <f t="shared" si="12"/>
        <v>38.835496749653885</v>
      </c>
      <c r="H395" s="179">
        <f>D395/POWER(1+'Os juros sobre juros'!$E$32,B395)</f>
        <v>293.05700516752637</v>
      </c>
      <c r="I395" s="179">
        <f t="shared" si="16"/>
        <v>5847.0485838717141</v>
      </c>
    </row>
    <row r="396" spans="2:13" s="43" customFormat="1" ht="15.95" customHeight="1" x14ac:dyDescent="0.25">
      <c r="B396" s="142">
        <f t="shared" si="13"/>
        <v>5</v>
      </c>
      <c r="C396" s="179">
        <f t="shared" si="14"/>
        <v>5847.0485838717141</v>
      </c>
      <c r="D396" s="179">
        <f>'Os juros sobre juros'!$E$46</f>
        <v>331.89250191718025</v>
      </c>
      <c r="E396" s="179">
        <f>'Os juros sobre juros'!$E$32*H396*B396</f>
        <v>44.884651818989106</v>
      </c>
      <c r="F396" s="179">
        <f t="shared" si="15"/>
        <v>2.9277752944626414</v>
      </c>
      <c r="G396" s="179">
        <f t="shared" si="12"/>
        <v>47.812427113451747</v>
      </c>
      <c r="H396" s="179">
        <f>D396/POWER(1+'Os juros sobre juros'!$E$32,B396)</f>
        <v>284.08007480372851</v>
      </c>
      <c r="I396" s="179">
        <f t="shared" si="16"/>
        <v>5562.9685090679859</v>
      </c>
    </row>
    <row r="397" spans="2:13" s="43" customFormat="1" ht="15.95" customHeight="1" x14ac:dyDescent="0.25">
      <c r="B397" s="142">
        <f t="shared" si="13"/>
        <v>6</v>
      </c>
      <c r="C397" s="179">
        <f t="shared" si="14"/>
        <v>5562.9685090679859</v>
      </c>
      <c r="D397" s="179">
        <f>'Os juros sobre juros'!$E$46</f>
        <v>331.89250191718025</v>
      </c>
      <c r="E397" s="179">
        <f>'Os juros sobre juros'!$E$32*H397*B397</f>
        <v>52.211692693667054</v>
      </c>
      <c r="F397" s="179">
        <f t="shared" si="15"/>
        <v>4.3026832020625321</v>
      </c>
      <c r="G397" s="179">
        <f t="shared" si="12"/>
        <v>56.514375895729586</v>
      </c>
      <c r="H397" s="179">
        <f>D397/POWER(1+'Os juros sobre juros'!$E$32,B397)</f>
        <v>275.37812602145067</v>
      </c>
      <c r="I397" s="179">
        <f t="shared" si="16"/>
        <v>5287.590383046535</v>
      </c>
    </row>
    <row r="398" spans="2:13" s="43" customFormat="1" ht="15.95" customHeight="1" x14ac:dyDescent="0.25">
      <c r="B398" s="142">
        <f t="shared" si="13"/>
        <v>7</v>
      </c>
      <c r="C398" s="179">
        <f t="shared" si="14"/>
        <v>5287.590383046535</v>
      </c>
      <c r="D398" s="179">
        <f>'Os juros sobre juros'!$E$46</f>
        <v>331.89250191718025</v>
      </c>
      <c r="E398" s="179">
        <f>'Os juros sobre juros'!$E$32*H398*B398</f>
        <v>59.047733109679015</v>
      </c>
      <c r="F398" s="179">
        <f t="shared" si="15"/>
        <v>5.9020332302905132</v>
      </c>
      <c r="G398" s="179">
        <f t="shared" si="12"/>
        <v>64.949766339969528</v>
      </c>
      <c r="H398" s="179">
        <f>D398/POWER(1+'Os juros sobre juros'!$E$32,B398)</f>
        <v>266.94273557721073</v>
      </c>
      <c r="I398" s="179">
        <f t="shared" si="16"/>
        <v>5020.6476474693245</v>
      </c>
    </row>
    <row r="399" spans="2:13" s="43" customFormat="1" ht="15.95" customHeight="1" x14ac:dyDescent="0.25">
      <c r="B399" s="142">
        <f t="shared" si="13"/>
        <v>8</v>
      </c>
      <c r="C399" s="179">
        <f t="shared" si="14"/>
        <v>5020.6476474693245</v>
      </c>
      <c r="D399" s="179">
        <f>'Os juros sobre juros'!$E$46</f>
        <v>331.89250191718025</v>
      </c>
      <c r="E399" s="179">
        <f>'Os juros sobre juros'!$E$32*H399*B399</f>
        <v>65.415978629235056</v>
      </c>
      <c r="F399" s="179">
        <f t="shared" si="15"/>
        <v>7.7107850393888242</v>
      </c>
      <c r="G399" s="179">
        <f t="shared" si="12"/>
        <v>73.12676366862388</v>
      </c>
      <c r="H399" s="179">
        <f>D399/POWER(1+'Os juros sobre juros'!$E$32,B399)</f>
        <v>258.76573824855637</v>
      </c>
      <c r="I399" s="179">
        <f t="shared" si="16"/>
        <v>4761.8819092207677</v>
      </c>
    </row>
    <row r="400" spans="2:13" s="43" customFormat="1" ht="15.95" customHeight="1" x14ac:dyDescent="0.25">
      <c r="B400" s="142">
        <f t="shared" si="13"/>
        <v>9</v>
      </c>
      <c r="C400" s="179">
        <f t="shared" si="14"/>
        <v>4761.8819092207677</v>
      </c>
      <c r="D400" s="179">
        <f>'Os juros sobre juros'!$E$46</f>
        <v>331.89250191718025</v>
      </c>
      <c r="E400" s="179">
        <f>'Os juros sobre juros'!$E$32*H400*B400</f>
        <v>71.338673863793574</v>
      </c>
      <c r="F400" s="179">
        <f t="shared" si="15"/>
        <v>9.7146091230295752</v>
      </c>
      <c r="G400" s="179">
        <f t="shared" si="12"/>
        <v>81.053282986823149</v>
      </c>
      <c r="H400" s="179">
        <f>D400/POWER(1+'Os juros sobre juros'!$E$32,B400)</f>
        <v>250.83921893035711</v>
      </c>
      <c r="I400" s="179">
        <f t="shared" si="16"/>
        <v>4511.042690290411</v>
      </c>
    </row>
    <row r="401" spans="2:9" s="43" customFormat="1" ht="15.95" customHeight="1" x14ac:dyDescent="0.25">
      <c r="B401" s="142">
        <f t="shared" si="13"/>
        <v>10</v>
      </c>
      <c r="C401" s="179">
        <f t="shared" si="14"/>
        <v>4511.042690290411</v>
      </c>
      <c r="D401" s="179">
        <f>'Os juros sobre juros'!$E$46</f>
        <v>331.89250191718025</v>
      </c>
      <c r="E401" s="179">
        <f>'Os juros sobre juros'!$E$32*H401*B401</f>
        <v>76.837139571532418</v>
      </c>
      <c r="F401" s="179">
        <f t="shared" si="15"/>
        <v>11.899857372443989</v>
      </c>
      <c r="G401" s="179">
        <f t="shared" si="12"/>
        <v>88.736996943976408</v>
      </c>
      <c r="H401" s="179">
        <f>D401/POWER(1+'Os juros sobre juros'!$E$32,B401)</f>
        <v>243.15550497320385</v>
      </c>
      <c r="I401" s="179">
        <f t="shared" si="16"/>
        <v>4267.8871853172068</v>
      </c>
    </row>
    <row r="402" spans="2:9" s="43" customFormat="1" ht="15.95" customHeight="1" x14ac:dyDescent="0.25">
      <c r="B402" s="142">
        <f t="shared" si="13"/>
        <v>11</v>
      </c>
      <c r="C402" s="179">
        <f t="shared" si="14"/>
        <v>4267.8871853172068</v>
      </c>
      <c r="D402" s="179">
        <f>'Os juros sobre juros'!$E$46</f>
        <v>331.89250191718025</v>
      </c>
      <c r="E402" s="179">
        <f>'Os juros sobre juros'!$E$32*H402*B402</f>
        <v>81.931808383758863</v>
      </c>
      <c r="F402" s="179">
        <f t="shared" si="15"/>
        <v>14.253534776922947</v>
      </c>
      <c r="G402" s="179">
        <f t="shared" si="12"/>
        <v>96.185343160681811</v>
      </c>
      <c r="H402" s="179">
        <f>D402/POWER(1+'Os juros sobre juros'!$E$32,B402)</f>
        <v>235.70715875649844</v>
      </c>
      <c r="I402" s="179">
        <f t="shared" si="16"/>
        <v>4032.1800265607085</v>
      </c>
    </row>
    <row r="403" spans="2:9" s="43" customFormat="1" ht="15.95" customHeight="1" x14ac:dyDescent="0.25">
      <c r="B403" s="142">
        <f t="shared" si="13"/>
        <v>12</v>
      </c>
      <c r="C403" s="179">
        <f t="shared" si="14"/>
        <v>4032.1800265607085</v>
      </c>
      <c r="D403" s="179">
        <f>'Os juros sobre juros'!$E$46</f>
        <v>331.89250191718025</v>
      </c>
      <c r="E403" s="179">
        <f>'Os juros sobre juros'!$E$32*H403*B403</f>
        <v>86.64225920944574</v>
      </c>
      <c r="F403" s="179">
        <f t="shared" si="15"/>
        <v>16.763272218689849</v>
      </c>
      <c r="G403" s="179">
        <f t="shared" si="12"/>
        <v>103.40553142813559</v>
      </c>
      <c r="H403" s="179">
        <f>D403/POWER(1+'Os juros sobre juros'!$E$32,B403)</f>
        <v>228.48697048904467</v>
      </c>
      <c r="I403" s="179">
        <f t="shared" si="16"/>
        <v>3803.6930560716637</v>
      </c>
    </row>
    <row r="404" spans="2:9" s="43" customFormat="1" ht="15.95" customHeight="1" x14ac:dyDescent="0.25">
      <c r="B404" s="142">
        <f t="shared" si="13"/>
        <v>13</v>
      </c>
      <c r="C404" s="179">
        <f t="shared" si="14"/>
        <v>3803.6930560716637</v>
      </c>
      <c r="D404" s="179">
        <f>'Os juros sobre juros'!$E$46</f>
        <v>331.89250191718025</v>
      </c>
      <c r="E404" s="179">
        <f>'Os juros sobre juros'!$E$32*H404*B404</f>
        <v>90.987250365354342</v>
      </c>
      <c r="F404" s="179">
        <f t="shared" si="15"/>
        <v>19.417300321654679</v>
      </c>
      <c r="G404" s="179">
        <f t="shared" si="12"/>
        <v>110.40455068700902</v>
      </c>
      <c r="H404" s="179">
        <f>D404/POWER(1+'Os juros sobre juros'!$E$32,B404)</f>
        <v>221.48795123017123</v>
      </c>
      <c r="I404" s="179">
        <f t="shared" si="16"/>
        <v>3582.2051048414924</v>
      </c>
    </row>
    <row r="405" spans="2:9" s="43" customFormat="1" ht="15.95" customHeight="1" x14ac:dyDescent="0.25">
      <c r="B405" s="142">
        <f t="shared" si="13"/>
        <v>14</v>
      </c>
      <c r="C405" s="179">
        <f t="shared" si="14"/>
        <v>3582.2051048414924</v>
      </c>
      <c r="D405" s="179">
        <f>'Os juros sobre juros'!$E$46</f>
        <v>331.89250191718025</v>
      </c>
      <c r="E405" s="179">
        <f>'Os juros sobre juros'!$E$32*H405*B405</f>
        <v>94.984751477537586</v>
      </c>
      <c r="F405" s="179">
        <f t="shared" si="15"/>
        <v>22.204424315009831</v>
      </c>
      <c r="G405" s="179">
        <f t="shared" si="12"/>
        <v>117.18917579254742</v>
      </c>
      <c r="H405" s="179">
        <f>D405/POWER(1+'Os juros sobre juros'!$E$32,B405)</f>
        <v>214.70332612463284</v>
      </c>
      <c r="I405" s="179">
        <f t="shared" si="16"/>
        <v>3367.5017787168595</v>
      </c>
    </row>
    <row r="406" spans="2:9" s="43" customFormat="1" ht="15.95" customHeight="1" x14ac:dyDescent="0.25">
      <c r="B406" s="142">
        <f t="shared" si="13"/>
        <v>15</v>
      </c>
      <c r="C406" s="179">
        <f t="shared" si="14"/>
        <v>3367.5017787168595</v>
      </c>
      <c r="D406" s="179">
        <f>'Os juros sobre juros'!$E$46</f>
        <v>331.89250191718025</v>
      </c>
      <c r="E406" s="179">
        <f>'Os juros sobre juros'!$E$32*H406*B406</f>
        <v>98.651974198406307</v>
      </c>
      <c r="F406" s="179">
        <f t="shared" si="15"/>
        <v>25.113999874034917</v>
      </c>
      <c r="G406" s="179">
        <f t="shared" si="12"/>
        <v>123.76597407244122</v>
      </c>
      <c r="H406" s="179">
        <f>D406/POWER(1+'Os juros sobre juros'!$E$32,B406)</f>
        <v>208.12652784473903</v>
      </c>
      <c r="I406" s="179">
        <f t="shared" si="16"/>
        <v>3159.3752508721204</v>
      </c>
    </row>
    <row r="407" spans="2:9" s="43" customFormat="1" ht="15.95" customHeight="1" x14ac:dyDescent="0.25">
      <c r="B407" s="142">
        <f t="shared" si="13"/>
        <v>16</v>
      </c>
      <c r="C407" s="179">
        <f t="shared" si="14"/>
        <v>3159.3752508721204</v>
      </c>
      <c r="D407" s="179">
        <f>'Os juros sobre juros'!$E$46</f>
        <v>331.89250191718025</v>
      </c>
      <c r="E407" s="179">
        <f>'Os juros sobre juros'!$E$32*H407*B407</f>
        <v>102.00540178198922</v>
      </c>
      <c r="F407" s="179">
        <f t="shared" si="15"/>
        <v>28.135909901826309</v>
      </c>
      <c r="G407" s="179">
        <f t="shared" si="12"/>
        <v>130.14131168381553</v>
      </c>
      <c r="H407" s="179">
        <f>D407/POWER(1+'Os juros sobre juros'!$E$32,B407)</f>
        <v>201.75119023336472</v>
      </c>
      <c r="I407" s="179">
        <f t="shared" si="16"/>
        <v>2957.6240606387555</v>
      </c>
    </row>
    <row r="408" spans="2:9" s="43" customFormat="1" ht="15.95" customHeight="1" x14ac:dyDescent="0.25">
      <c r="B408" s="142">
        <f t="shared" si="13"/>
        <v>17</v>
      </c>
      <c r="C408" s="179">
        <f t="shared" si="14"/>
        <v>2957.6240606387555</v>
      </c>
      <c r="D408" s="179">
        <f>'Os juros sobre juros'!$E$46</f>
        <v>331.89250191718025</v>
      </c>
      <c r="E408" s="179">
        <f>'Os juros sobre juros'!$E$32*H408*B408</f>
        <v>105.06081755851447</v>
      </c>
      <c r="F408" s="179">
        <f t="shared" si="15"/>
        <v>31.260542216978408</v>
      </c>
      <c r="G408" s="179">
        <f t="shared" si="12"/>
        <v>136.32135977549288</v>
      </c>
      <c r="H408" s="179">
        <f>D408/POWER(1+'Os juros sobre juros'!$E$32,B408)</f>
        <v>195.57114214168737</v>
      </c>
      <c r="I408" s="179">
        <f t="shared" si="16"/>
        <v>2762.0529184970683</v>
      </c>
    </row>
    <row r="409" spans="2:9" s="43" customFormat="1" ht="15.95" customHeight="1" x14ac:dyDescent="0.25">
      <c r="B409" s="142">
        <f t="shared" si="13"/>
        <v>18</v>
      </c>
      <c r="C409" s="179">
        <f t="shared" si="14"/>
        <v>2762.0529184970683</v>
      </c>
      <c r="D409" s="179">
        <f>'Os juros sobre juros'!$E$46</f>
        <v>331.89250191718025</v>
      </c>
      <c r="E409" s="179">
        <f>'Os juros sobre juros'!$E$32*H409*B409</f>
        <v>107.83333234799515</v>
      </c>
      <c r="F409" s="179">
        <f t="shared" si="15"/>
        <v>34.478768113497452</v>
      </c>
      <c r="G409" s="179">
        <f t="shared" si="12"/>
        <v>142.31210046149261</v>
      </c>
      <c r="H409" s="179">
        <f>D409/POWER(1+'Os juros sobre juros'!$E$32,B409)</f>
        <v>189.58040145568765</v>
      </c>
      <c r="I409" s="179">
        <f t="shared" si="16"/>
        <v>2572.4725170413808</v>
      </c>
    </row>
    <row r="410" spans="2:9" s="43" customFormat="1" ht="15.95" customHeight="1" x14ac:dyDescent="0.25">
      <c r="B410" s="142">
        <f t="shared" si="13"/>
        <v>19</v>
      </c>
      <c r="C410" s="179">
        <f t="shared" si="14"/>
        <v>2572.4725170413808</v>
      </c>
      <c r="D410" s="179">
        <f>'Os juros sobre juros'!$E$46</f>
        <v>331.89250191718025</v>
      </c>
      <c r="E410" s="179">
        <f>'Os juros sobre juros'!$E$32*H410*B410</f>
        <v>110.33741085110009</v>
      </c>
      <c r="F410" s="179">
        <f t="shared" si="15"/>
        <v>37.781921760450444</v>
      </c>
      <c r="G410" s="179">
        <f t="shared" si="12"/>
        <v>148.11933261155053</v>
      </c>
      <c r="H410" s="179">
        <f>D410/POWER(1+'Os juros sobre juros'!$E$32,B410)</f>
        <v>183.77316930562972</v>
      </c>
      <c r="I410" s="179">
        <f t="shared" si="16"/>
        <v>2388.699347735751</v>
      </c>
    </row>
    <row r="411" spans="2:9" s="43" customFormat="1" ht="15.95" customHeight="1" x14ac:dyDescent="0.25">
      <c r="B411" s="142">
        <f t="shared" si="13"/>
        <v>20</v>
      </c>
      <c r="C411" s="179">
        <f t="shared" si="14"/>
        <v>2388.699347735751</v>
      </c>
      <c r="D411" s="179">
        <f>'Os juros sobre juros'!$E$46</f>
        <v>331.89250191718025</v>
      </c>
      <c r="E411" s="179">
        <f>'Os juros sobre juros'!$E$32*H411*B411</f>
        <v>112.58689705424391</v>
      </c>
      <c r="F411" s="179">
        <f t="shared" si="15"/>
        <v>41.161780410018793</v>
      </c>
      <c r="G411" s="179">
        <f t="shared" si="12"/>
        <v>153.7486774642627</v>
      </c>
      <c r="H411" s="179">
        <f>D411/POWER(1+'Os juros sobre juros'!$E$32,B411)</f>
        <v>178.14382445291756</v>
      </c>
      <c r="I411" s="179">
        <f t="shared" si="16"/>
        <v>2210.5555232828333</v>
      </c>
    </row>
    <row r="412" spans="2:9" s="43" customFormat="1" ht="15.95" customHeight="1" x14ac:dyDescent="0.25">
      <c r="B412" s="142">
        <f t="shared" si="13"/>
        <v>21</v>
      </c>
      <c r="C412" s="179">
        <f t="shared" si="14"/>
        <v>2210.5555232828333</v>
      </c>
      <c r="D412" s="179">
        <f>'Os juros sobre juros'!$E$46</f>
        <v>331.89250191718025</v>
      </c>
      <c r="E412" s="179">
        <f>'Os juros sobre juros'!$E$32*H412*B412</f>
        <v>114.59503868452509</v>
      </c>
      <c r="F412" s="179">
        <f t="shared" si="15"/>
        <v>44.610545383762627</v>
      </c>
      <c r="G412" s="179">
        <f t="shared" si="12"/>
        <v>159.20558406828772</v>
      </c>
      <c r="H412" s="179">
        <f>D412/POWER(1+'Os juros sobre juros'!$E$32,B412)</f>
        <v>172.68691784889253</v>
      </c>
      <c r="I412" s="179">
        <f t="shared" si="16"/>
        <v>2037.8686054339407</v>
      </c>
    </row>
    <row r="413" spans="2:9" s="43" customFormat="1" ht="15.95" customHeight="1" x14ac:dyDescent="0.25">
      <c r="B413" s="142">
        <f t="shared" si="13"/>
        <v>22</v>
      </c>
      <c r="C413" s="179">
        <f t="shared" si="14"/>
        <v>2037.8686054339407</v>
      </c>
      <c r="D413" s="179">
        <f>'Os juros sobre juros'!$E$46</f>
        <v>331.89250191718025</v>
      </c>
      <c r="E413" s="179">
        <f>'Os juros sobre juros'!$E$32*H413*B413</f>
        <v>116.37451074888533</v>
      </c>
      <c r="F413" s="179">
        <f t="shared" si="15"/>
        <v>48.120823807988089</v>
      </c>
      <c r="G413" s="179">
        <f t="shared" si="12"/>
        <v>164.49533455687342</v>
      </c>
      <c r="H413" s="179">
        <f>D413/POWER(1+'Os juros sobre juros'!$E$32,B413)</f>
        <v>167.39716736030684</v>
      </c>
      <c r="I413" s="179">
        <f t="shared" si="16"/>
        <v>1870.4714380736339</v>
      </c>
    </row>
    <row r="414" spans="2:9" s="43" customFormat="1" ht="15.95" customHeight="1" x14ac:dyDescent="0.25">
      <c r="B414" s="142">
        <f t="shared" si="13"/>
        <v>23</v>
      </c>
      <c r="C414" s="179">
        <f t="shared" si="14"/>
        <v>1870.4714380736339</v>
      </c>
      <c r="D414" s="179">
        <f>'Os juros sobre juros'!$E$46</f>
        <v>331.89250191718025</v>
      </c>
      <c r="E414" s="179">
        <f>'Os juros sobre juros'!$E$32*H414*B414</f>
        <v>117.93743819064657</v>
      </c>
      <c r="F414" s="179">
        <f t="shared" si="15"/>
        <v>51.685611070168036</v>
      </c>
      <c r="G414" s="179">
        <f t="shared" si="12"/>
        <v>169.62304926081461</v>
      </c>
      <c r="H414" s="179">
        <f>D414/POWER(1+'Os juros sobre juros'!$E$32,B414)</f>
        <v>162.26945265636564</v>
      </c>
      <c r="I414" s="179">
        <f t="shared" si="16"/>
        <v>1708.2019854172681</v>
      </c>
    </row>
    <row r="415" spans="2:9" s="43" customFormat="1" ht="15.95" customHeight="1" x14ac:dyDescent="0.25">
      <c r="B415" s="142">
        <f t="shared" si="13"/>
        <v>24</v>
      </c>
      <c r="C415" s="179">
        <f t="shared" si="14"/>
        <v>1708.2019854172681</v>
      </c>
      <c r="D415" s="179">
        <f>'Os juros sobre juros'!$E$46</f>
        <v>331.89250191718025</v>
      </c>
      <c r="E415" s="179">
        <f>'Os juros sobre juros'!$E$32*H415*B415</f>
        <v>119.29541769541268</v>
      </c>
      <c r="F415" s="179">
        <f t="shared" si="15"/>
        <v>55.298273969377448</v>
      </c>
      <c r="G415" s="179">
        <f t="shared" si="12"/>
        <v>174.59369166479013</v>
      </c>
      <c r="H415" s="179">
        <f>D415/POWER(1+'Os juros sobre juros'!$E$32,B415)</f>
        <v>157.29881025239013</v>
      </c>
      <c r="I415" s="179">
        <f t="shared" si="16"/>
        <v>1550.9031751648781</v>
      </c>
    </row>
    <row r="416" spans="2:9" s="43" customFormat="1" ht="15.95" customHeight="1" x14ac:dyDescent="0.25">
      <c r="B416" s="142">
        <f t="shared" si="13"/>
        <v>25</v>
      </c>
      <c r="C416" s="179">
        <f t="shared" si="14"/>
        <v>1550.9031751648781</v>
      </c>
      <c r="D416" s="179">
        <f>'Os juros sobre juros'!$E$46</f>
        <v>331.89250191718025</v>
      </c>
      <c r="E416" s="179">
        <f>'Os juros sobre juros'!$E$32*H416*B416</f>
        <v>120.45953867718904</v>
      </c>
      <c r="F416" s="179">
        <f t="shared" si="15"/>
        <v>58.952534534688652</v>
      </c>
      <c r="G416" s="179">
        <f t="shared" si="12"/>
        <v>179.4120732118777</v>
      </c>
      <c r="H416" s="179">
        <f>D416/POWER(1+'Os juros sobre juros'!$E$32,B416)</f>
        <v>152.48042870530256</v>
      </c>
      <c r="I416" s="179">
        <f t="shared" si="16"/>
        <v>1398.4227464595756</v>
      </c>
    </row>
    <row r="417" spans="2:13" s="43" customFormat="1" ht="15.95" customHeight="1" x14ac:dyDescent="0.25">
      <c r="B417" s="142">
        <f t="shared" si="13"/>
        <v>26</v>
      </c>
      <c r="C417" s="179">
        <f t="shared" si="14"/>
        <v>1398.4227464595756</v>
      </c>
      <c r="D417" s="179">
        <f>'Os juros sobre juros'!$E$46</f>
        <v>331.89250191718025</v>
      </c>
      <c r="E417" s="179">
        <f>'Os juros sobre juros'!$E$32*H417*B417</f>
        <v>121.44040347448292</v>
      </c>
      <c r="F417" s="179">
        <f t="shared" si="15"/>
        <v>62.642454486413371</v>
      </c>
      <c r="G417" s="179">
        <f t="shared" si="12"/>
        <v>184.08285796089629</v>
      </c>
      <c r="H417" s="179">
        <f>D417/POWER(1+'Os juros sobre juros'!$E$32,B417)</f>
        <v>147.80964395628396</v>
      </c>
      <c r="I417" s="179">
        <f t="shared" si="16"/>
        <v>1250.6131025032917</v>
      </c>
    </row>
    <row r="418" spans="2:13" s="43" customFormat="1" ht="15.95" customHeight="1" x14ac:dyDescent="0.25">
      <c r="B418" s="142">
        <f t="shared" si="13"/>
        <v>27</v>
      </c>
      <c r="C418" s="179">
        <f t="shared" si="14"/>
        <v>1250.6131025032917</v>
      </c>
      <c r="D418" s="179">
        <f>'Os juros sobre juros'!$E$46</f>
        <v>331.89250191718025</v>
      </c>
      <c r="E418" s="179">
        <f>'Os juros sobre juros'!$E$32*H418*B418</f>
        <v>122.24814678509256</v>
      </c>
      <c r="F418" s="179">
        <f t="shared" si="15"/>
        <v>66.362420315992352</v>
      </c>
      <c r="G418" s="179">
        <f t="shared" si="12"/>
        <v>188.61056710108491</v>
      </c>
      <c r="H418" s="179">
        <f>D418/POWER(1+'Os juros sobre juros'!$E$32,B418)</f>
        <v>143.28193481609534</v>
      </c>
      <c r="I418" s="179">
        <f t="shared" si="16"/>
        <v>1107.3311676871963</v>
      </c>
    </row>
    <row r="419" spans="2:13" s="43" customFormat="1" ht="15.95" customHeight="1" x14ac:dyDescent="0.25">
      <c r="B419" s="142">
        <f t="shared" si="13"/>
        <v>28</v>
      </c>
      <c r="C419" s="179">
        <f t="shared" si="14"/>
        <v>1107.3311676871963</v>
      </c>
      <c r="D419" s="179">
        <f>'Os juros sobre juros'!$E$46</f>
        <v>331.89250191718025</v>
      </c>
      <c r="E419" s="179">
        <f>'Os juros sobre juros'!$E$32*H419*B419</f>
        <v>122.89245436727528</v>
      </c>
      <c r="F419" s="179">
        <f t="shared" si="15"/>
        <v>70.107128961212325</v>
      </c>
      <c r="G419" s="179">
        <f t="shared" si="12"/>
        <v>192.9995833284876</v>
      </c>
      <c r="H419" s="179">
        <f>D419/POWER(1+'Os juros sobre juros'!$E$32,B419)</f>
        <v>138.89291858869265</v>
      </c>
      <c r="I419" s="179">
        <f t="shared" si="16"/>
        <v>968.43824909850366</v>
      </c>
    </row>
    <row r="420" spans="2:13" s="43" customFormat="1" ht="15.95" customHeight="1" x14ac:dyDescent="0.25">
      <c r="B420" s="142">
        <f t="shared" si="13"/>
        <v>29</v>
      </c>
      <c r="C420" s="179">
        <f t="shared" si="14"/>
        <v>968.43824909850366</v>
      </c>
      <c r="D420" s="179">
        <f>'Os juros sobre juros'!$E$46</f>
        <v>331.89250191718025</v>
      </c>
      <c r="E420" s="179">
        <f>'Os juros sobre juros'!$E$32*H420*B420</f>
        <v>123.38258103400342</v>
      </c>
      <c r="F420" s="179">
        <f t="shared" si="15"/>
        <v>73.871574054277417</v>
      </c>
      <c r="G420" s="179">
        <f t="shared" si="12"/>
        <v>197.25415508828084</v>
      </c>
      <c r="H420" s="179">
        <f>D420/POWER(1+'Os juros sobre juros'!$E$32,B420)</f>
        <v>134.63834682889942</v>
      </c>
      <c r="I420" s="179">
        <f t="shared" si="16"/>
        <v>833.79990226960422</v>
      </c>
    </row>
    <row r="421" spans="2:13" s="43" customFormat="1" ht="15.95" customHeight="1" x14ac:dyDescent="0.25">
      <c r="B421" s="142">
        <f t="shared" si="13"/>
        <v>30</v>
      </c>
      <c r="C421" s="179">
        <f t="shared" si="14"/>
        <v>833.79990226960422</v>
      </c>
      <c r="D421" s="179">
        <f>'Os juros sobre juros'!$E$46</f>
        <v>331.89250191718025</v>
      </c>
      <c r="E421" s="179">
        <f>'Os juros sobre juros'!$E$32*H421*B421</f>
        <v>123.72736796606888</v>
      </c>
      <c r="F421" s="179">
        <f t="shared" si="15"/>
        <v>77.651032721080909</v>
      </c>
      <c r="G421" s="179">
        <f t="shared" si="12"/>
        <v>201.37840068714979</v>
      </c>
      <c r="H421" s="179">
        <f>D421/POWER(1+'Os juros sobre juros'!$E$32,B421)</f>
        <v>130.51410123003046</v>
      </c>
      <c r="I421" s="179">
        <f t="shared" si="16"/>
        <v>703.2858010395737</v>
      </c>
    </row>
    <row r="422" spans="2:13" s="43" customFormat="1" ht="15.95" customHeight="1" x14ac:dyDescent="0.25">
      <c r="B422" s="142">
        <f t="shared" si="13"/>
        <v>31</v>
      </c>
      <c r="C422" s="179">
        <f t="shared" si="14"/>
        <v>703.2858010395737</v>
      </c>
      <c r="D422" s="179">
        <f>'Os juros sobre juros'!$E$46</f>
        <v>331.89250191718025</v>
      </c>
      <c r="E422" s="179">
        <f>'Os juros sobre juros'!$E$32*H422*B422</f>
        <v>123.93525936888119</v>
      </c>
      <c r="F422" s="179">
        <f t="shared" si="15"/>
        <v>81.44105291081317</v>
      </c>
      <c r="G422" s="179">
        <f t="shared" si="12"/>
        <v>205.37631227969436</v>
      </c>
      <c r="H422" s="179">
        <f>D422/POWER(1+'Os juros sobre juros'!$E$32,B422)</f>
        <v>126.51618963748589</v>
      </c>
      <c r="I422" s="179">
        <f t="shared" si="16"/>
        <v>576.76961140208778</v>
      </c>
    </row>
    <row r="423" spans="2:13" s="43" customFormat="1" ht="15.95" customHeight="1" x14ac:dyDescent="0.25">
      <c r="B423" s="142">
        <f t="shared" si="13"/>
        <v>32</v>
      </c>
      <c r="C423" s="179">
        <f t="shared" si="14"/>
        <v>576.76961140208778</v>
      </c>
      <c r="D423" s="179">
        <f>'Os juros sobre juros'!$E$46</f>
        <v>331.89250191718025</v>
      </c>
      <c r="E423" s="179">
        <f>'Os juros sobre juros'!$E$32*H423*B423</f>
        <v>124.01431849692298</v>
      </c>
      <c r="F423" s="179">
        <f t="shared" si="15"/>
        <v>85.237441235800219</v>
      </c>
      <c r="G423" s="179">
        <f t="shared" si="12"/>
        <v>209.2517597327232</v>
      </c>
      <c r="H423" s="179">
        <f>D423/POWER(1+'Os juros sobre juros'!$E$32,B423)</f>
        <v>122.64074218445705</v>
      </c>
      <c r="I423" s="179">
        <f t="shared" si="16"/>
        <v>454.12886921763072</v>
      </c>
    </row>
    <row r="424" spans="2:13" s="43" customFormat="1" ht="15.95" customHeight="1" x14ac:dyDescent="0.25">
      <c r="B424" s="142">
        <f t="shared" si="13"/>
        <v>33</v>
      </c>
      <c r="C424" s="179">
        <f t="shared" si="14"/>
        <v>454.12886921763072</v>
      </c>
      <c r="D424" s="179">
        <f>'Os juros sobre juros'!$E$46</f>
        <v>331.89250191718025</v>
      </c>
      <c r="E424" s="179">
        <f>'Os juros sobre juros'!$E$32*H424*B424</f>
        <v>123.97224306897229</v>
      </c>
      <c r="F424" s="179">
        <f t="shared" si="15"/>
        <v>89.036251302204647</v>
      </c>
      <c r="G424" s="179">
        <f t="shared" si="12"/>
        <v>213.00849437117694</v>
      </c>
      <c r="H424" s="179">
        <f>D424/POWER(1+'Os juros sobre juros'!$E$32,B424)</f>
        <v>118.88400754600333</v>
      </c>
      <c r="I424" s="179">
        <f t="shared" si="16"/>
        <v>335.2448616716274</v>
      </c>
    </row>
    <row r="425" spans="2:13" s="43" customFormat="1" ht="15.95" customHeight="1" x14ac:dyDescent="0.25">
      <c r="B425" s="142">
        <f t="shared" si="13"/>
        <v>34</v>
      </c>
      <c r="C425" s="179">
        <f t="shared" si="14"/>
        <v>335.2448616716274</v>
      </c>
      <c r="D425" s="320">
        <f>'Os juros sobre juros'!$E$46</f>
        <v>331.89250191718025</v>
      </c>
      <c r="E425" s="179">
        <f>'Os juros sobre juros'!$E$32*H425*B425</f>
        <v>123.81638009638037</v>
      </c>
      <c r="F425" s="179">
        <f t="shared" si="15"/>
        <v>92.833772512925393</v>
      </c>
      <c r="G425" s="179">
        <f t="shared" si="12"/>
        <v>216.65015260930576</v>
      </c>
      <c r="H425" s="179">
        <f>D425/POWER(1+'Os juros sobre juros'!$E$32,B425)</f>
        <v>115.24234930787449</v>
      </c>
      <c r="I425" s="179">
        <f t="shared" si="16"/>
        <v>220.00251236375291</v>
      </c>
    </row>
    <row r="426" spans="2:13" s="43" customFormat="1" ht="15.95" customHeight="1" x14ac:dyDescent="0.25">
      <c r="B426" s="142">
        <f t="shared" si="13"/>
        <v>35</v>
      </c>
      <c r="C426" s="179">
        <f t="shared" si="14"/>
        <v>220.00251236375291</v>
      </c>
      <c r="D426" s="179">
        <f>'Os juros sobre juros'!$E$46</f>
        <v>331.89250191718025</v>
      </c>
      <c r="E426" s="179">
        <f>'Os juros sobre juros'!$E$32*H426*B426</f>
        <v>123.55374014589879</v>
      </c>
      <c r="F426" s="179">
        <f t="shared" si="15"/>
        <v>96.626519324718373</v>
      </c>
      <c r="G426" s="179">
        <f t="shared" si="12"/>
        <v>220.18025947061716</v>
      </c>
      <c r="H426" s="179">
        <f>D426/POWER(1+'Os juros sobre juros'!$E$32,B426)</f>
        <v>111.71224244656308</v>
      </c>
      <c r="I426" s="179">
        <f t="shared" si="16"/>
        <v>108.29026991718983</v>
      </c>
    </row>
    <row r="427" spans="2:13" s="95" customFormat="1" ht="15.95" customHeight="1" x14ac:dyDescent="0.25">
      <c r="B427" s="291">
        <f t="shared" si="13"/>
        <v>36</v>
      </c>
      <c r="C427" s="296">
        <f t="shared" si="14"/>
        <v>108.29026991718983</v>
      </c>
      <c r="D427" s="296">
        <f>'Os juros sobre juros'!$E$46</f>
        <v>331.89250191718025</v>
      </c>
      <c r="E427" s="296">
        <f>'Os juros sobre juros'!$E$32*H427*B427</f>
        <v>123.19101105778422</v>
      </c>
      <c r="F427" s="296">
        <f t="shared" si="15"/>
        <v>100.41122094221582</v>
      </c>
      <c r="G427" s="296">
        <f t="shared" si="12"/>
        <v>223.60223200000004</v>
      </c>
      <c r="H427" s="296">
        <f>D427/POWER(1+'Os juros sobre juros'!$E$32,B427)</f>
        <v>108.29026991718021</v>
      </c>
      <c r="I427" s="296">
        <f t="shared" si="16"/>
        <v>9.6207486421917565E-12</v>
      </c>
    </row>
    <row r="428" spans="2:13" s="95" customFormat="1" ht="15.95" customHeight="1" x14ac:dyDescent="0.25">
      <c r="B428" s="292"/>
      <c r="C428" s="293" t="s">
        <v>123</v>
      </c>
      <c r="D428" s="297">
        <f ca="1">SUM(D392:INDIRECT(ADDRESS(ROW($D$428)-1,4)))</f>
        <v>11948.130069018489</v>
      </c>
      <c r="E428" s="297">
        <f ca="1">SUM(E392:INDIRECT(ADDRESS(ROW($E$428)-1,5)))</f>
        <v>3401.1725149814979</v>
      </c>
      <c r="F428" s="297">
        <f ca="1">SUM(F392:INDIRECT(ADDRESS(ROW($F$428)-1,6)))</f>
        <v>1470.9375540370008</v>
      </c>
      <c r="G428" s="297">
        <f ca="1">SUM(G392:INDIRECT(ADDRESS(ROW($G$428)-1,7)))</f>
        <v>4872.1100690184994</v>
      </c>
      <c r="H428" s="297">
        <f ca="1">SUM(H392:INDIRECT(ADDRESS(ROW($H$428)-1,8)))</f>
        <v>7076.0199999999886</v>
      </c>
      <c r="I428" s="321"/>
      <c r="K428" s="43"/>
      <c r="L428" s="43"/>
      <c r="M428" s="43"/>
    </row>
    <row r="429" spans="2:13" s="43" customFormat="1" ht="15.95" customHeight="1" x14ac:dyDescent="0.25">
      <c r="B429" s="47"/>
      <c r="C429" s="166"/>
      <c r="D429" s="636" t="str">
        <f ca="1">IF(OR(($D$428-$C$443)&gt;0.01,($D$428-$C$443)&lt;-0.01,($E$428-$D$443)&gt;0.01,($E$428-$D$443)&lt;-0.01,($F$428-$E$443)&gt;0.01,($F$428-$E$443)&lt;-0.01,($G$428-$F$443)&gt;0.01,($G$428-$F$443)&lt;-0.01,($H$428-$G$443)&gt;0.01,($H$428-$G$443)&lt;-0.01),"FALTA ATUALIZAR A TABELA 19","")</f>
        <v/>
      </c>
      <c r="E429" s="637"/>
      <c r="F429" s="637"/>
      <c r="G429" s="637"/>
      <c r="H429" s="638"/>
    </row>
    <row r="430" spans="2:13" s="43" customFormat="1" ht="20.100000000000001" customHeight="1" x14ac:dyDescent="0.25">
      <c r="B430" s="47"/>
      <c r="C430" s="166"/>
      <c r="D430" s="606" t="s">
        <v>124</v>
      </c>
      <c r="E430" s="606"/>
      <c r="F430" s="606"/>
      <c r="G430" s="606"/>
      <c r="H430" s="606"/>
    </row>
    <row r="431" spans="2:13" s="43" customFormat="1" ht="20.100000000000001" customHeight="1" x14ac:dyDescent="0.25">
      <c r="B431" s="47"/>
      <c r="C431" s="166"/>
      <c r="D431" s="480" t="s">
        <v>18</v>
      </c>
      <c r="E431" s="578" t="s">
        <v>21</v>
      </c>
      <c r="F431" s="612"/>
      <c r="G431" s="579"/>
      <c r="H431" s="480" t="s">
        <v>24</v>
      </c>
    </row>
    <row r="432" spans="2:13" s="43" customFormat="1" ht="20.100000000000001" customHeight="1" x14ac:dyDescent="0.25">
      <c r="B432" s="47"/>
      <c r="C432" s="166"/>
      <c r="D432" s="481"/>
      <c r="E432" s="281" t="s">
        <v>25</v>
      </c>
      <c r="F432" s="281" t="s">
        <v>26</v>
      </c>
      <c r="G432" s="281" t="s">
        <v>299</v>
      </c>
      <c r="H432" s="481"/>
    </row>
    <row r="433" spans="2:11" s="43" customFormat="1" ht="15.95" customHeight="1" x14ac:dyDescent="0.25">
      <c r="B433" s="47"/>
      <c r="C433" s="166"/>
      <c r="D433" s="290">
        <f ca="1">D428</f>
        <v>11948.130069018489</v>
      </c>
      <c r="E433" s="290">
        <f ca="1">E428</f>
        <v>3401.1725149814979</v>
      </c>
      <c r="F433" s="290">
        <f ca="1">F428</f>
        <v>1470.9375540370008</v>
      </c>
      <c r="G433" s="290">
        <f t="shared" ref="G433:H433" ca="1" si="17">G428</f>
        <v>4872.1100690184994</v>
      </c>
      <c r="H433" s="290">
        <f t="shared" ca="1" si="17"/>
        <v>7076.0199999999886</v>
      </c>
    </row>
    <row r="434" spans="2:11" s="43" customFormat="1" ht="15.95" customHeight="1" thickBot="1" x14ac:dyDescent="0.3">
      <c r="B434" s="47"/>
      <c r="C434" s="166"/>
      <c r="D434" s="298"/>
      <c r="E434" s="298"/>
      <c r="F434" s="298"/>
      <c r="G434" s="166"/>
    </row>
    <row r="435" spans="2:11" s="43" customFormat="1" ht="24.95" customHeight="1" x14ac:dyDescent="0.25">
      <c r="C435" s="299" t="s">
        <v>138</v>
      </c>
      <c r="D435" s="300"/>
      <c r="E435" s="300"/>
      <c r="F435" s="300"/>
      <c r="G435" s="300"/>
      <c r="H435" s="322"/>
      <c r="I435" s="301"/>
      <c r="J435" s="301"/>
      <c r="K435" s="302"/>
    </row>
    <row r="436" spans="2:11" s="43" customFormat="1" ht="15.95" customHeight="1" x14ac:dyDescent="0.25">
      <c r="C436" s="303" t="s">
        <v>194</v>
      </c>
      <c r="D436" s="67"/>
      <c r="E436" s="67"/>
      <c r="F436" s="67"/>
      <c r="G436" s="67"/>
      <c r="H436" s="46"/>
      <c r="I436" s="47" t="s">
        <v>139</v>
      </c>
      <c r="J436" s="47"/>
      <c r="K436" s="64"/>
    </row>
    <row r="437" spans="2:11" s="43" customFormat="1" ht="15.95" customHeight="1" x14ac:dyDescent="0.25">
      <c r="C437" s="303" t="s">
        <v>332</v>
      </c>
      <c r="D437" s="67"/>
      <c r="E437" s="67"/>
      <c r="F437" s="67"/>
      <c r="G437" s="67"/>
      <c r="H437" s="46"/>
      <c r="I437" s="47"/>
      <c r="J437" s="47"/>
      <c r="K437" s="64"/>
    </row>
    <row r="438" spans="2:11" s="43" customFormat="1" ht="15.95" customHeight="1" x14ac:dyDescent="0.25">
      <c r="C438" s="303" t="s">
        <v>333</v>
      </c>
      <c r="D438" s="67"/>
      <c r="E438" s="67"/>
      <c r="F438" s="67"/>
      <c r="G438" s="67"/>
      <c r="H438" s="46"/>
      <c r="I438" s="47"/>
      <c r="J438" s="47"/>
      <c r="K438" s="64"/>
    </row>
    <row r="439" spans="2:11" s="43" customFormat="1" ht="15.95" customHeight="1" x14ac:dyDescent="0.25">
      <c r="C439" s="303"/>
      <c r="D439" s="67"/>
      <c r="E439" s="67"/>
      <c r="F439" s="67"/>
      <c r="G439" s="67"/>
      <c r="H439" s="46"/>
      <c r="I439" s="47"/>
      <c r="J439" s="47"/>
      <c r="K439" s="64"/>
    </row>
    <row r="440" spans="2:11" s="43" customFormat="1" ht="24.95" customHeight="1" x14ac:dyDescent="0.25">
      <c r="C440" s="392" t="s">
        <v>285</v>
      </c>
      <c r="D440" s="67"/>
      <c r="E440" s="67"/>
      <c r="F440" s="67"/>
      <c r="G440" s="67"/>
      <c r="H440" s="46"/>
      <c r="I440" s="47"/>
      <c r="J440" s="47"/>
      <c r="K440" s="64"/>
    </row>
    <row r="441" spans="2:11" ht="20.100000000000001" customHeight="1" x14ac:dyDescent="0.25">
      <c r="C441" s="677" t="s">
        <v>18</v>
      </c>
      <c r="D441" s="679" t="s">
        <v>299</v>
      </c>
      <c r="E441" s="679"/>
      <c r="F441" s="679"/>
      <c r="G441" s="678" t="s">
        <v>24</v>
      </c>
      <c r="H441" s="2"/>
      <c r="I441" s="2"/>
      <c r="J441" s="2"/>
      <c r="K441" s="63"/>
    </row>
    <row r="442" spans="2:11" ht="20.100000000000001" customHeight="1" x14ac:dyDescent="0.25">
      <c r="C442" s="677"/>
      <c r="D442" s="72" t="s">
        <v>25</v>
      </c>
      <c r="E442" s="72" t="s">
        <v>26</v>
      </c>
      <c r="F442" s="72" t="s">
        <v>99</v>
      </c>
      <c r="G442" s="678"/>
      <c r="H442" s="2"/>
      <c r="I442" s="2"/>
      <c r="J442" s="2"/>
      <c r="K442" s="63"/>
    </row>
    <row r="443" spans="2:11" s="43" customFormat="1" ht="15.95" customHeight="1" thickBot="1" x14ac:dyDescent="0.3">
      <c r="C443" s="304">
        <f>'Os juros sobre juros'!$C$520</f>
        <v>11948.130069018489</v>
      </c>
      <c r="D443" s="305">
        <f ca="1">'Os juros sobre juros'!$E$520</f>
        <v>3401.1725149814979</v>
      </c>
      <c r="E443" s="305">
        <f ca="1">'Os juros sobre juros'!$F$520</f>
        <v>1470.9375540370008</v>
      </c>
      <c r="F443" s="305">
        <f ca="1">'Os juros sobre juros'!$G$520</f>
        <v>4872.1100690184994</v>
      </c>
      <c r="G443" s="305">
        <f>'Os juros sobre juros'!$D$520</f>
        <v>7076.02</v>
      </c>
      <c r="H443" s="287"/>
      <c r="I443" s="287"/>
      <c r="J443" s="287"/>
      <c r="K443" s="306"/>
    </row>
    <row r="444" spans="2:11" s="43" customFormat="1" ht="15.95" customHeight="1" x14ac:dyDescent="0.25"/>
    <row r="445" spans="2:11" s="274" customFormat="1" ht="24.95" customHeight="1" x14ac:dyDescent="0.25">
      <c r="B445" s="384" t="s">
        <v>669</v>
      </c>
    </row>
    <row r="446" spans="2:11" s="43" customFormat="1" ht="15.95" customHeight="1" x14ac:dyDescent="0.25">
      <c r="B446" s="43" t="s">
        <v>636</v>
      </c>
    </row>
    <row r="447" spans="2:11" s="43" customFormat="1" ht="15.95" customHeight="1" x14ac:dyDescent="0.25">
      <c r="B447" s="43" t="s">
        <v>426</v>
      </c>
    </row>
    <row r="448" spans="2:11" s="43" customFormat="1" ht="15.95" customHeight="1" x14ac:dyDescent="0.25">
      <c r="B448" s="43" t="s">
        <v>889</v>
      </c>
    </row>
    <row r="449" spans="1:22" s="43" customFormat="1" ht="15.95" customHeight="1" x14ac:dyDescent="0.25">
      <c r="B449" s="43" t="s">
        <v>907</v>
      </c>
    </row>
    <row r="450" spans="1:22" s="43" customFormat="1" ht="15.95" customHeight="1" x14ac:dyDescent="0.25">
      <c r="B450" s="43" t="s">
        <v>890</v>
      </c>
    </row>
    <row r="451" spans="1:22" s="43" customFormat="1" ht="15.95" customHeight="1" x14ac:dyDescent="0.25">
      <c r="B451" s="43" t="s">
        <v>885</v>
      </c>
    </row>
    <row r="452" spans="1:22" s="43" customFormat="1" ht="15.95" customHeight="1" x14ac:dyDescent="0.25">
      <c r="B452" s="43" t="s">
        <v>945</v>
      </c>
    </row>
    <row r="453" spans="1:22" s="38" customFormat="1" ht="15.95" customHeight="1" x14ac:dyDescent="0.25"/>
    <row r="454" spans="1:22" s="43" customFormat="1" ht="24.95" customHeight="1" x14ac:dyDescent="0.25">
      <c r="A454" s="378" t="s">
        <v>775</v>
      </c>
    </row>
    <row r="455" spans="1:22" s="38" customFormat="1" ht="15.95" customHeight="1" x14ac:dyDescent="0.25"/>
    <row r="456" spans="1:22" s="289" customFormat="1" ht="24.95" customHeight="1" x14ac:dyDescent="0.25">
      <c r="A456" s="380" t="s">
        <v>776</v>
      </c>
    </row>
    <row r="457" spans="1:22" s="119" customFormat="1" ht="15.95" customHeight="1" x14ac:dyDescent="0.25">
      <c r="A457" s="39"/>
      <c r="B457" s="119" t="s">
        <v>617</v>
      </c>
    </row>
    <row r="458" spans="1:22" s="119" customFormat="1" ht="15.95" customHeight="1" x14ac:dyDescent="0.25">
      <c r="A458" s="39"/>
      <c r="B458" s="119" t="s">
        <v>423</v>
      </c>
    </row>
    <row r="459" spans="1:22" s="119" customFormat="1" ht="15.95" customHeight="1" x14ac:dyDescent="0.25">
      <c r="A459" s="39"/>
      <c r="B459" s="119" t="s">
        <v>637</v>
      </c>
    </row>
    <row r="460" spans="1:22" s="119" customFormat="1" ht="15.95" customHeight="1" x14ac:dyDescent="0.25"/>
    <row r="461" spans="1:22" s="38" customFormat="1" ht="24.95" customHeight="1" x14ac:dyDescent="0.25">
      <c r="B461" s="390" t="s">
        <v>326</v>
      </c>
      <c r="T461" s="119"/>
      <c r="U461" s="119"/>
      <c r="V461" s="119"/>
    </row>
    <row r="462" spans="1:22" s="38" customFormat="1" ht="20.100000000000001" customHeight="1" x14ac:dyDescent="0.25">
      <c r="B462" s="485" t="s">
        <v>19</v>
      </c>
      <c r="C462" s="485" t="s">
        <v>31</v>
      </c>
      <c r="D462" s="485"/>
      <c r="E462" s="485"/>
      <c r="F462" s="485"/>
      <c r="G462" s="487" t="s">
        <v>196</v>
      </c>
      <c r="H462" s="488"/>
      <c r="I462" s="488"/>
      <c r="J462" s="488"/>
      <c r="K462" s="488"/>
      <c r="L462" s="488"/>
      <c r="M462" s="488"/>
      <c r="N462" s="488"/>
      <c r="O462" s="488"/>
      <c r="P462" s="489"/>
      <c r="T462" s="119"/>
      <c r="U462" s="119"/>
      <c r="V462" s="119"/>
    </row>
    <row r="463" spans="1:22" s="38" customFormat="1" ht="20.100000000000001" customHeight="1" x14ac:dyDescent="0.25">
      <c r="B463" s="485"/>
      <c r="C463" s="485"/>
      <c r="D463" s="485"/>
      <c r="E463" s="485"/>
      <c r="F463" s="485"/>
      <c r="G463" s="629" t="s">
        <v>47</v>
      </c>
      <c r="H463" s="630"/>
      <c r="I463" s="631"/>
      <c r="J463" s="632" t="s">
        <v>48</v>
      </c>
      <c r="K463" s="633"/>
      <c r="L463" s="634"/>
      <c r="M463" s="125" t="s">
        <v>307</v>
      </c>
      <c r="N463" s="485" t="s">
        <v>62</v>
      </c>
      <c r="O463" s="485"/>
      <c r="P463" s="485"/>
      <c r="T463" s="119"/>
      <c r="U463" s="119"/>
      <c r="V463" s="119"/>
    </row>
    <row r="464" spans="1:22" s="38" customFormat="1" ht="20.100000000000001" customHeight="1" x14ac:dyDescent="0.25">
      <c r="B464" s="485"/>
      <c r="C464" s="486" t="s">
        <v>17</v>
      </c>
      <c r="D464" s="490" t="s">
        <v>20</v>
      </c>
      <c r="E464" s="486" t="s">
        <v>35</v>
      </c>
      <c r="F464" s="486" t="s">
        <v>22</v>
      </c>
      <c r="G464" s="628" t="s">
        <v>25</v>
      </c>
      <c r="H464" s="628" t="s">
        <v>43</v>
      </c>
      <c r="I464" s="628" t="s">
        <v>161</v>
      </c>
      <c r="J464" s="635" t="s">
        <v>25</v>
      </c>
      <c r="K464" s="635" t="s">
        <v>43</v>
      </c>
      <c r="L464" s="635" t="s">
        <v>161</v>
      </c>
      <c r="M464" s="125" t="s">
        <v>307</v>
      </c>
      <c r="N464" s="358" t="s">
        <v>25</v>
      </c>
      <c r="O464" s="358" t="s">
        <v>292</v>
      </c>
      <c r="P464" s="358" t="s">
        <v>83</v>
      </c>
    </row>
    <row r="465" spans="2:150" s="38" customFormat="1" ht="20.100000000000001" customHeight="1" x14ac:dyDescent="0.25">
      <c r="B465" s="485"/>
      <c r="C465" s="486"/>
      <c r="D465" s="490"/>
      <c r="E465" s="486"/>
      <c r="F465" s="486"/>
      <c r="G465" s="628"/>
      <c r="H465" s="628"/>
      <c r="I465" s="628"/>
      <c r="J465" s="635"/>
      <c r="K465" s="635"/>
      <c r="L465" s="635"/>
      <c r="M465" s="125" t="s">
        <v>307</v>
      </c>
      <c r="N465" s="358" t="s">
        <v>63</v>
      </c>
      <c r="O465" s="358" t="s">
        <v>63</v>
      </c>
      <c r="P465" s="358" t="s">
        <v>63</v>
      </c>
    </row>
    <row r="466" spans="2:150" s="38" customFormat="1" ht="15.95" customHeight="1" x14ac:dyDescent="0.25">
      <c r="B466" s="98">
        <f>'Os juros sobre juros'!$B$367</f>
        <v>1</v>
      </c>
      <c r="C466" s="125">
        <f>'Os juros sobre juros'!$C$367</f>
        <v>331.89250191718025</v>
      </c>
      <c r="D466" s="125">
        <f>'Os juros sobre juros'!$D$367</f>
        <v>321.72596153274549</v>
      </c>
      <c r="E466" s="125">
        <f>'Os juros sobre juros'!$E$367</f>
        <v>10.166540384434768</v>
      </c>
      <c r="F466" s="140">
        <f>'Os juros sobre juros'!$F$367</f>
        <v>3.1600000000000031E-2</v>
      </c>
      <c r="G466" s="323">
        <f>'Os juros sobre juros'!$H$367</f>
        <v>10.166540384434759</v>
      </c>
      <c r="H466" s="323">
        <f>'Os juros sobre juros'!$I$367</f>
        <v>0</v>
      </c>
      <c r="I466" s="323">
        <f>'Os juros sobre juros'!$J$367</f>
        <v>10.166540384434759</v>
      </c>
      <c r="J466" s="43"/>
      <c r="K466" s="43"/>
      <c r="L466" s="43"/>
      <c r="M466" s="125" t="s">
        <v>307</v>
      </c>
      <c r="N466" s="125">
        <f>'Os juros sobre juros'!$EU$367</f>
        <v>10.166540384434759</v>
      </c>
      <c r="O466" s="125">
        <f>'Os juros sobre juros'!$EV$367</f>
        <v>0</v>
      </c>
      <c r="P466" s="323">
        <f>'Os juros sobre juros'!$EW$367</f>
        <v>10.166540384434768</v>
      </c>
    </row>
    <row r="467" spans="2:150" s="38" customFormat="1" ht="15.95" customHeight="1" x14ac:dyDescent="0.25">
      <c r="B467" s="98">
        <f>'Os juros sobre juros'!$B$368</f>
        <v>2</v>
      </c>
      <c r="C467" s="125">
        <f>'Os juros sobre juros'!$C$368</f>
        <v>331.89250191718025</v>
      </c>
      <c r="D467" s="125">
        <f>'Os juros sobre juros'!$D$368</f>
        <v>311.87084289719411</v>
      </c>
      <c r="E467" s="125">
        <f>'Os juros sobre juros'!$E$368</f>
        <v>20.021659019986146</v>
      </c>
      <c r="F467" s="140">
        <f>'Os juros sobre juros'!$F$368</f>
        <v>6.4198560000000182E-2</v>
      </c>
      <c r="G467" s="323">
        <f>'Os juros sobre juros'!$H$368</f>
        <v>9.8551186355513352</v>
      </c>
      <c r="H467" s="323">
        <f>'Os juros sobre juros'!$I$368</f>
        <v>0</v>
      </c>
      <c r="I467" s="323">
        <f>'Os juros sobre juros'!$J$368</f>
        <v>9.8551186355513352</v>
      </c>
      <c r="J467" s="324">
        <f>'Os juros sobre juros'!$L$368</f>
        <v>9.8551186355513352</v>
      </c>
      <c r="K467" s="324">
        <f>'Os juros sobre juros'!$M$368</f>
        <v>0.31142174888342222</v>
      </c>
      <c r="L467" s="324">
        <f>'Os juros sobre juros'!$N$368</f>
        <v>10.166540384434757</v>
      </c>
      <c r="M467" s="125" t="s">
        <v>307</v>
      </c>
      <c r="N467" s="125">
        <f>'Os juros sobre juros'!$EU$368</f>
        <v>19.71023727110267</v>
      </c>
      <c r="O467" s="125">
        <f>'Os juros sobre juros'!$EV$368</f>
        <v>0.3114217488834754</v>
      </c>
      <c r="P467" s="324">
        <f>'Os juros sobre juros'!$EW$368</f>
        <v>20.021659019986146</v>
      </c>
    </row>
    <row r="468" spans="2:150" s="38" customFormat="1" ht="15.95" customHeight="1" x14ac:dyDescent="0.25">
      <c r="B468" s="98">
        <f>'Os juros sobre juros'!$B$369</f>
        <v>3</v>
      </c>
      <c r="C468" s="125">
        <f>'Os juros sobre juros'!$C$369</f>
        <v>331.89250191718025</v>
      </c>
      <c r="D468" s="125">
        <f>'Os juros sobre juros'!$D$369</f>
        <v>302.31760653082017</v>
      </c>
      <c r="E468" s="125">
        <f>'Os juros sobre juros'!$E$369</f>
        <v>29.574895386360083</v>
      </c>
      <c r="F468" s="140">
        <f>'Os juros sobre juros'!$F$369</f>
        <v>9.7827234496000254E-2</v>
      </c>
      <c r="G468" s="323">
        <f>'Os juros sobre juros'!$H$369</f>
        <v>9.5532363663739179</v>
      </c>
      <c r="H468" s="323">
        <f>'Os juros sobre juros'!$I$369</f>
        <v>0</v>
      </c>
      <c r="I468" s="323">
        <f>'Os juros sobre juros'!$J$369</f>
        <v>9.5532363663739179</v>
      </c>
      <c r="J468" s="324">
        <f>'Os juros sobre juros'!$L$369</f>
        <v>9.5532363663739179</v>
      </c>
      <c r="K468" s="324">
        <f>'Os juros sobre juros'!$M$369</f>
        <v>0.30188226917741584</v>
      </c>
      <c r="L468" s="324">
        <f>'Os juros sobre juros'!$N$369</f>
        <v>9.8551186355513334</v>
      </c>
      <c r="M468" s="125" t="s">
        <v>307</v>
      </c>
      <c r="N468" s="125">
        <f>'Os juros sobre juros'!$EU$369</f>
        <v>28.659709099121756</v>
      </c>
      <c r="O468" s="125">
        <f>'Os juros sobre juros'!$EV$369</f>
        <v>0.91518628723832762</v>
      </c>
      <c r="P468" s="125">
        <f>'Os juros sobre juros'!$EW$369</f>
        <v>29.574895386360083</v>
      </c>
    </row>
    <row r="469" spans="2:150" s="38" customFormat="1" ht="15.95" customHeight="1" x14ac:dyDescent="0.25">
      <c r="B469" s="125" t="s">
        <v>307</v>
      </c>
      <c r="C469" s="125" t="s">
        <v>307</v>
      </c>
      <c r="D469" s="125" t="s">
        <v>307</v>
      </c>
      <c r="E469" s="125" t="s">
        <v>307</v>
      </c>
      <c r="F469" s="125" t="s">
        <v>307</v>
      </c>
      <c r="G469" s="323" t="s">
        <v>307</v>
      </c>
      <c r="H469" s="323" t="s">
        <v>307</v>
      </c>
      <c r="I469" s="323" t="s">
        <v>307</v>
      </c>
      <c r="J469" s="324" t="s">
        <v>307</v>
      </c>
      <c r="K469" s="324" t="s">
        <v>307</v>
      </c>
      <c r="L469" s="324" t="s">
        <v>307</v>
      </c>
      <c r="M469" s="125" t="s">
        <v>307</v>
      </c>
      <c r="N469" s="125" t="s">
        <v>307</v>
      </c>
      <c r="O469" s="125" t="s">
        <v>307</v>
      </c>
      <c r="P469" s="125" t="str">
        <f t="shared" ref="P469" si="18">$E469</f>
        <v>...</v>
      </c>
    </row>
    <row r="470" spans="2:150" s="95" customFormat="1" ht="15.95" customHeight="1" x14ac:dyDescent="0.25">
      <c r="B470" s="98">
        <f ca="1">INDIRECT(ADDRESS((ROW('Os juros sobre juros'!$B$403)-1),2,,,"Os juros sobre juros"))</f>
        <v>36</v>
      </c>
      <c r="C470" s="125">
        <f ca="1">INDIRECT(ADDRESS((ROW('Os juros sobre juros'!$C$403)-1),3,,,"Os juros sobre juros"))</f>
        <v>331.89250191718025</v>
      </c>
      <c r="D470" s="125">
        <f ca="1">INDIRECT(ADDRESS((ROW('Os juros sobre juros'!$D$403)-1),4,,,"Os juros sobre juros"))</f>
        <v>108.29026991718021</v>
      </c>
      <c r="E470" s="125">
        <f ca="1">INDIRECT(ADDRESS((ROW('Os juros sobre juros'!$E$403)-1),5,,,"Os juros sobre juros"))</f>
        <v>223.60223200000004</v>
      </c>
      <c r="F470" s="125">
        <f ca="1">INDIRECT(ADDRESS((ROW('Os juros sobre juros'!$F$403)-1),6,,,"Os juros sobre juros"))</f>
        <v>2.0648413949933802</v>
      </c>
      <c r="G470" s="323">
        <f ca="1">INDIRECT(ADDRESS((ROW('Os juros sobre juros'!$H$403)-1),8,,,"Os juros sobre juros"))</f>
        <v>3.4219725293828951</v>
      </c>
      <c r="H470" s="323">
        <f ca="1">INDIRECT(ADDRESS((ROW('Os juros sobre juros'!$I$403)-1),9,,,"Os juros sobre juros"))</f>
        <v>0</v>
      </c>
      <c r="I470" s="323">
        <f ca="1">INDIRECT(ADDRESS((ROW('Os juros sobre juros'!$J$403)-1),10,,,"Os juros sobre juros"))</f>
        <v>3.4219725293828951</v>
      </c>
      <c r="J470" s="324">
        <f ca="1">INDIRECT(ADDRESS((ROW('Os juros sobre juros'!$L$403)-1),12,,,"Os juros sobre juros"))</f>
        <v>3.4219725293828951</v>
      </c>
      <c r="K470" s="324">
        <f ca="1">INDIRECT(ADDRESS((ROW('Os juros sobre juros'!$M$403)-1),13,,,"Os juros sobre juros"))</f>
        <v>0.1081343319284995</v>
      </c>
      <c r="L470" s="324">
        <f ca="1">INDIRECT(ADDRESS((ROW('Os juros sobre juros'!$N$403)-1),14,,,"Os juros sobre juros"))</f>
        <v>3.5301068613113946</v>
      </c>
      <c r="M470" s="125" t="s">
        <v>307</v>
      </c>
      <c r="N470" s="125">
        <f ca="1">INDIRECT(ADDRESS((ROW('Os juros sobre juros'!$EU$403)-1),151,,,"Os juros sobre juros"))</f>
        <v>123.19101105778422</v>
      </c>
      <c r="O470" s="125">
        <f ca="1">INDIRECT(ADDRESS((ROW('Os juros sobre juros'!$EV$403)-1),152,,,"Os juros sobre juros"))</f>
        <v>100.41122094221582</v>
      </c>
      <c r="P470" s="125">
        <f ca="1">INDIRECT(ADDRESS((ROW('Os juros sobre juros'!$EW$403)-1),153,,,"Os juros sobre juros"))</f>
        <v>223.60223200000004</v>
      </c>
      <c r="Q470" s="38"/>
      <c r="R470" s="38"/>
      <c r="S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P470" s="38"/>
      <c r="BQ470" s="38"/>
      <c r="BR470" s="38"/>
      <c r="BS470" s="38"/>
      <c r="BT470" s="38"/>
      <c r="BU470" s="38"/>
      <c r="BV470" s="38"/>
      <c r="BW470" s="38"/>
      <c r="BX470" s="38"/>
      <c r="BY470" s="38"/>
      <c r="BZ470" s="38"/>
      <c r="CA470" s="38"/>
      <c r="CB470" s="38"/>
      <c r="CC470" s="38"/>
      <c r="CD470" s="38"/>
      <c r="CE470" s="38"/>
      <c r="CF470" s="38"/>
      <c r="CG470" s="38"/>
      <c r="CH470" s="38"/>
      <c r="CI470" s="38"/>
      <c r="CJ470" s="38"/>
      <c r="CK470" s="38"/>
      <c r="CL470" s="38"/>
      <c r="CM470" s="38"/>
      <c r="CN470" s="38"/>
      <c r="CO470" s="38"/>
      <c r="CP470" s="38"/>
      <c r="CQ470" s="38"/>
      <c r="CR470" s="38"/>
      <c r="CS470" s="38"/>
      <c r="CT470" s="38"/>
      <c r="CU470" s="38"/>
      <c r="CV470" s="38"/>
      <c r="CW470" s="38"/>
      <c r="CX470" s="38"/>
      <c r="CY470" s="38"/>
      <c r="CZ470" s="38"/>
      <c r="DA470" s="38"/>
      <c r="DB470" s="38"/>
      <c r="DC470" s="38"/>
      <c r="DD470" s="38"/>
      <c r="DE470" s="38"/>
      <c r="DF470" s="38"/>
      <c r="DG470" s="38"/>
      <c r="DH470" s="38"/>
      <c r="DI470" s="38"/>
      <c r="DJ470" s="38"/>
      <c r="DK470" s="38"/>
      <c r="DL470" s="38"/>
      <c r="DM470" s="38"/>
      <c r="DN470" s="38"/>
      <c r="DO470" s="38"/>
      <c r="DP470" s="38"/>
      <c r="DQ470" s="38"/>
      <c r="DR470" s="38"/>
      <c r="DS470" s="38"/>
      <c r="DT470" s="38"/>
      <c r="DU470" s="38"/>
      <c r="DV470" s="38"/>
      <c r="DW470" s="38"/>
      <c r="DX470" s="38"/>
      <c r="DY470" s="38"/>
      <c r="DZ470" s="38"/>
      <c r="EA470" s="38"/>
      <c r="EB470" s="38"/>
      <c r="EC470" s="38"/>
      <c r="ED470" s="38"/>
      <c r="EE470" s="38"/>
      <c r="EF470" s="38"/>
      <c r="EG470" s="38"/>
      <c r="EH470" s="38"/>
      <c r="EI470" s="38"/>
      <c r="EJ470" s="38"/>
      <c r="EK470" s="38"/>
      <c r="EL470" s="38"/>
      <c r="EM470" s="38"/>
      <c r="EN470" s="38"/>
      <c r="EO470" s="38"/>
      <c r="EP470" s="38"/>
      <c r="EQ470" s="38"/>
      <c r="ER470" s="38"/>
      <c r="ES470" s="38"/>
      <c r="ET470" s="38"/>
    </row>
    <row r="471" spans="2:150" s="95" customFormat="1" ht="15.95" customHeight="1" x14ac:dyDescent="0.25">
      <c r="B471" s="358" t="str">
        <f>'Os juros sobre juros'!$B$403</f>
        <v>Total</v>
      </c>
      <c r="C471" s="357">
        <f ca="1">'Os juros sobre juros'!$C$403</f>
        <v>11948.130069018489</v>
      </c>
      <c r="D471" s="357">
        <f ca="1">'Os juros sobre juros'!$D$403</f>
        <v>7076.0199999999886</v>
      </c>
      <c r="E471" s="357">
        <f ca="1">'Os juros sobre juros'!$E$403</f>
        <v>4872.1100690184994</v>
      </c>
      <c r="F471" s="249"/>
      <c r="G471" s="359">
        <f ca="1">'Os juros sobre juros'!$H$403</f>
        <v>223.60223199999965</v>
      </c>
      <c r="H471" s="359">
        <f ca="1">'Os juros sobre juros'!$I$403</f>
        <v>0</v>
      </c>
      <c r="I471" s="359">
        <f ca="1">'Os juros sobre juros'!$J$403</f>
        <v>223.60223199999965</v>
      </c>
      <c r="J471" s="360">
        <f ca="1">'Os juros sobre juros'!$L$403</f>
        <v>213.43569161556491</v>
      </c>
      <c r="K471" s="360">
        <f ca="1">'Os juros sobre juros'!$M$403</f>
        <v>6.7445678550518542</v>
      </c>
      <c r="L471" s="360">
        <f ca="1">'Os juros sobre juros'!$N$403</f>
        <v>220.18025947061676</v>
      </c>
      <c r="M471" s="125" t="s">
        <v>307</v>
      </c>
      <c r="N471" s="357">
        <f ca="1">'Os juros sobre juros'!$EU$403</f>
        <v>3401.1725149814979</v>
      </c>
      <c r="O471" s="357">
        <f ca="1">'Os juros sobre juros'!$EV$403</f>
        <v>1470.9375540370008</v>
      </c>
      <c r="P471" s="357">
        <f ca="1">'Os juros sobre juros'!$EW$403</f>
        <v>4872.1100690184994</v>
      </c>
      <c r="Q471" s="38"/>
      <c r="R471" s="38"/>
      <c r="S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  <c r="BO471" s="38"/>
      <c r="BP471" s="38"/>
      <c r="BQ471" s="38"/>
      <c r="BR471" s="38"/>
      <c r="BS471" s="38"/>
      <c r="BT471" s="38"/>
      <c r="BU471" s="38"/>
      <c r="BV471" s="38"/>
      <c r="BW471" s="38"/>
      <c r="BX471" s="38"/>
      <c r="BY471" s="38"/>
      <c r="BZ471" s="38"/>
      <c r="CA471" s="38"/>
      <c r="CB471" s="38"/>
      <c r="CC471" s="38"/>
      <c r="CD471" s="38"/>
      <c r="CE471" s="38"/>
      <c r="CF471" s="38"/>
      <c r="CG471" s="38"/>
      <c r="CH471" s="38"/>
      <c r="CI471" s="38"/>
      <c r="CJ471" s="38"/>
      <c r="CK471" s="38"/>
      <c r="CL471" s="38"/>
      <c r="CM471" s="38"/>
      <c r="CN471" s="38"/>
      <c r="CO471" s="38"/>
      <c r="CP471" s="38"/>
      <c r="CQ471" s="38"/>
      <c r="CR471" s="38"/>
      <c r="CS471" s="38"/>
      <c r="CT471" s="38"/>
      <c r="CU471" s="38"/>
      <c r="CV471" s="38"/>
      <c r="CW471" s="38"/>
      <c r="CX471" s="38"/>
      <c r="CY471" s="38"/>
      <c r="CZ471" s="38"/>
      <c r="DA471" s="38"/>
      <c r="DB471" s="38"/>
      <c r="DC471" s="38"/>
      <c r="DD471" s="38"/>
      <c r="DE471" s="38"/>
      <c r="DF471" s="38"/>
      <c r="DG471" s="38"/>
      <c r="DH471" s="38"/>
      <c r="DI471" s="38"/>
      <c r="DJ471" s="38"/>
      <c r="DK471" s="38"/>
      <c r="DL471" s="38"/>
      <c r="DM471" s="38"/>
      <c r="DN471" s="38"/>
      <c r="DO471" s="38"/>
      <c r="DP471" s="38"/>
      <c r="DQ471" s="38"/>
      <c r="DR471" s="38"/>
      <c r="DS471" s="38"/>
      <c r="DT471" s="38"/>
      <c r="DU471" s="38"/>
      <c r="DV471" s="38"/>
      <c r="DW471" s="38"/>
      <c r="DX471" s="38"/>
      <c r="DY471" s="38"/>
      <c r="DZ471" s="38"/>
      <c r="EA471" s="38"/>
      <c r="EB471" s="38"/>
      <c r="EC471" s="38"/>
      <c r="ED471" s="38"/>
      <c r="EE471" s="38"/>
      <c r="EF471" s="38"/>
      <c r="EG471" s="38"/>
      <c r="EH471" s="38"/>
      <c r="EI471" s="38"/>
      <c r="EJ471" s="38"/>
      <c r="EK471" s="38"/>
      <c r="EL471" s="38"/>
      <c r="EM471" s="38"/>
      <c r="EN471" s="38"/>
      <c r="EO471" s="38"/>
      <c r="EP471" s="38"/>
      <c r="EQ471" s="38"/>
      <c r="ER471" s="38"/>
      <c r="ES471" s="38"/>
      <c r="ET471" s="38"/>
    </row>
    <row r="472" spans="2:150" s="38" customFormat="1" ht="15.95" customHeight="1" x14ac:dyDescent="0.25">
      <c r="B472" s="235"/>
      <c r="C472" s="119"/>
      <c r="D472" s="119"/>
      <c r="E472" s="119"/>
      <c r="F472" s="119"/>
      <c r="G472" s="648">
        <f ca="1">'Os juros sobre juros'!$H$404</f>
        <v>223.60223199999965</v>
      </c>
      <c r="H472" s="648"/>
      <c r="J472" s="649">
        <f ca="1">'Os juros sobre juros'!$L$404</f>
        <v>220.18025947061676</v>
      </c>
      <c r="K472" s="649"/>
      <c r="M472" s="119"/>
      <c r="N472" s="491">
        <f ca="1">'Os juros sobre juros'!$EU$404</f>
        <v>4872.1100690184985</v>
      </c>
      <c r="O472" s="491"/>
      <c r="V472" s="235"/>
    </row>
    <row r="473" spans="2:150" s="38" customFormat="1" ht="15.95" customHeight="1" x14ac:dyDescent="0.25">
      <c r="B473" s="40"/>
      <c r="E473" s="131"/>
      <c r="F473" s="131"/>
      <c r="G473" s="131"/>
      <c r="H473" s="131"/>
      <c r="I473" s="131"/>
      <c r="J473" s="131"/>
      <c r="K473" s="119"/>
      <c r="L473" s="119"/>
      <c r="M473" s="131"/>
      <c r="N473" s="131"/>
      <c r="O473" s="40"/>
    </row>
    <row r="474" spans="2:150" s="289" customFormat="1" ht="24.95" customHeight="1" x14ac:dyDescent="0.25">
      <c r="B474" s="384" t="s">
        <v>456</v>
      </c>
      <c r="D474" s="325"/>
      <c r="E474" s="325"/>
      <c r="F474" s="325"/>
      <c r="G474" s="325"/>
      <c r="H474" s="325"/>
      <c r="I474" s="325"/>
      <c r="K474" s="119"/>
      <c r="L474" s="119"/>
      <c r="M474" s="325"/>
      <c r="N474" s="325"/>
      <c r="O474" s="310"/>
    </row>
    <row r="475" spans="2:150" s="43" customFormat="1" ht="15.95" customHeight="1" x14ac:dyDescent="0.25">
      <c r="B475" s="471" t="s">
        <v>427</v>
      </c>
    </row>
    <row r="476" spans="2:150" s="43" customFormat="1" ht="15.95" customHeight="1" x14ac:dyDescent="0.25">
      <c r="B476" s="113"/>
      <c r="C476" s="114" t="str">
        <f ca="1">CONCATENATE("Todas as prestações ativas (ou seja, a 1 até a ",$B$470,") incorreram em juros no primeiro mês, independente")</f>
        <v>Todas as prestações ativas (ou seja, a 1 até a 36) incorreram em juros no primeiro mês, independente</v>
      </c>
      <c r="D476" s="430"/>
      <c r="E476" s="430"/>
      <c r="F476" s="430"/>
      <c r="G476" s="430"/>
      <c r="H476" s="430"/>
    </row>
    <row r="477" spans="2:150" s="43" customFormat="1" ht="15.95" customHeight="1" x14ac:dyDescent="0.25">
      <c r="B477" s="113"/>
      <c r="C477" s="47" t="s">
        <v>887</v>
      </c>
      <c r="D477" s="430"/>
      <c r="E477" s="430"/>
      <c r="F477" s="430"/>
      <c r="G477" s="430"/>
      <c r="H477" s="430"/>
    </row>
    <row r="478" spans="2:150" s="43" customFormat="1" ht="15.95" customHeight="1" x14ac:dyDescent="0.25"/>
    <row r="479" spans="2:150" s="43" customFormat="1" ht="15.95" customHeight="1" x14ac:dyDescent="0.25">
      <c r="B479" s="113"/>
      <c r="C479" s="645" t="str">
        <f ca="1">CONCATENATE("O total de juros incorridos (prestações 1 a ",$B$470,") é de: ")</f>
        <v xml:space="preserve">O total de juros incorridos (prestações 1 a 36) é de: </v>
      </c>
      <c r="D479" s="646"/>
      <c r="E479" s="646"/>
      <c r="F479" s="647"/>
      <c r="G479" s="338">
        <f ca="1">$I$471</f>
        <v>223.60223199999965</v>
      </c>
    </row>
    <row r="480" spans="2:150" s="43" customFormat="1" ht="15.95" customHeight="1" x14ac:dyDescent="0.25">
      <c r="B480" s="113"/>
      <c r="C480" s="650" t="s">
        <v>721</v>
      </c>
      <c r="D480" s="651"/>
      <c r="E480" s="651"/>
      <c r="F480" s="652"/>
      <c r="G480" s="338">
        <f ca="1">$G$471</f>
        <v>223.60223199999965</v>
      </c>
      <c r="H480" s="144" t="s">
        <v>25</v>
      </c>
    </row>
    <row r="481" spans="1:8" s="43" customFormat="1" ht="15.95" customHeight="1" x14ac:dyDescent="0.25">
      <c r="B481" s="113"/>
      <c r="C481" s="653"/>
      <c r="D481" s="654"/>
      <c r="E481" s="654"/>
      <c r="F481" s="655"/>
      <c r="G481" s="338">
        <f ca="1">$H$471</f>
        <v>0</v>
      </c>
      <c r="H481" s="144" t="s">
        <v>26</v>
      </c>
    </row>
    <row r="482" spans="1:8" s="43" customFormat="1" ht="15.95" customHeight="1" x14ac:dyDescent="0.25">
      <c r="B482" s="113"/>
      <c r="C482" s="645" t="s">
        <v>901</v>
      </c>
      <c r="D482" s="646"/>
      <c r="E482" s="646"/>
      <c r="F482" s="647"/>
      <c r="G482" s="338">
        <f>$P$466</f>
        <v>10.166540384434768</v>
      </c>
    </row>
    <row r="483" spans="1:8" s="43" customFormat="1" ht="15.95" customHeight="1" x14ac:dyDescent="0.25"/>
    <row r="484" spans="1:8" s="43" customFormat="1" ht="15.95" customHeight="1" x14ac:dyDescent="0.25">
      <c r="B484" s="472" t="s">
        <v>429</v>
      </c>
    </row>
    <row r="485" spans="1:8" s="43" customFormat="1" ht="15.95" customHeight="1" x14ac:dyDescent="0.25">
      <c r="B485" s="113"/>
      <c r="C485" s="114" t="str">
        <f ca="1">CONCATENATE("Todas as prestações ativas (ou seja, a 2 até a ",$B$470,") incorreram em juros no segundo mês, independente")</f>
        <v>Todas as prestações ativas (ou seja, a 2 até a 36) incorreram em juros no segundo mês, independente</v>
      </c>
      <c r="D485" s="430"/>
      <c r="E485" s="430"/>
      <c r="F485" s="430"/>
      <c r="G485" s="430"/>
    </row>
    <row r="486" spans="1:8" s="43" customFormat="1" ht="15.95" customHeight="1" x14ac:dyDescent="0.25">
      <c r="B486" s="113"/>
      <c r="C486" s="114" t="s">
        <v>887</v>
      </c>
      <c r="D486" s="430"/>
      <c r="E486" s="430"/>
      <c r="F486" s="430"/>
      <c r="G486" s="430"/>
    </row>
    <row r="487" spans="1:8" s="43" customFormat="1" ht="15.95" customHeight="1" x14ac:dyDescent="0.25">
      <c r="C487" s="114"/>
    </row>
    <row r="488" spans="1:8" s="43" customFormat="1" ht="15.95" customHeight="1" x14ac:dyDescent="0.25">
      <c r="C488" s="645" t="str">
        <f ca="1">CONCATENATE("O total de juros incorridos (prestações 2 a ",$B$470,") é de: ")</f>
        <v xml:space="preserve">O total de juros incorridos (prestações 2 a 36) é de: </v>
      </c>
      <c r="D488" s="646"/>
      <c r="E488" s="646"/>
      <c r="F488" s="647"/>
      <c r="G488" s="339">
        <f ca="1">$L$471</f>
        <v>220.18025947061676</v>
      </c>
    </row>
    <row r="489" spans="1:8" s="43" customFormat="1" ht="15.95" customHeight="1" x14ac:dyDescent="0.25">
      <c r="C489" s="650" t="s">
        <v>722</v>
      </c>
      <c r="D489" s="656"/>
      <c r="E489" s="656"/>
      <c r="F489" s="657"/>
      <c r="G489" s="339">
        <f ca="1">$J$471</f>
        <v>213.43569161556491</v>
      </c>
      <c r="H489" s="144" t="s">
        <v>25</v>
      </c>
    </row>
    <row r="490" spans="1:8" s="43" customFormat="1" ht="15.95" customHeight="1" x14ac:dyDescent="0.25">
      <c r="B490" s="113"/>
      <c r="C490" s="658"/>
      <c r="D490" s="659"/>
      <c r="E490" s="659"/>
      <c r="F490" s="660"/>
      <c r="G490" s="339">
        <f ca="1">$K$471</f>
        <v>6.7445678550518542</v>
      </c>
      <c r="H490" s="144" t="s">
        <v>26</v>
      </c>
    </row>
    <row r="491" spans="1:8" s="43" customFormat="1" ht="15.95" customHeight="1" x14ac:dyDescent="0.25">
      <c r="B491" s="113"/>
      <c r="C491" s="645" t="s">
        <v>902</v>
      </c>
      <c r="D491" s="646"/>
      <c r="E491" s="646"/>
      <c r="F491" s="647"/>
      <c r="G491" s="339">
        <f>$P$467</f>
        <v>20.021659019986146</v>
      </c>
    </row>
    <row r="492" spans="1:8" s="43" customFormat="1" ht="15.95" customHeight="1" x14ac:dyDescent="0.25">
      <c r="B492" s="113"/>
    </row>
    <row r="493" spans="1:8" s="43" customFormat="1" ht="15.95" customHeight="1" x14ac:dyDescent="0.25">
      <c r="B493" s="43" t="s">
        <v>337</v>
      </c>
    </row>
    <row r="494" spans="1:8" s="43" customFormat="1" ht="15.95" customHeight="1" x14ac:dyDescent="0.25"/>
    <row r="495" spans="1:8" s="43" customFormat="1" ht="24.95" customHeight="1" x14ac:dyDescent="0.25">
      <c r="A495" s="382" t="s">
        <v>777</v>
      </c>
    </row>
    <row r="496" spans="1:8" s="43" customFormat="1" ht="15.95" customHeight="1" x14ac:dyDescent="0.25">
      <c r="B496" s="43" t="s">
        <v>557</v>
      </c>
    </row>
    <row r="497" spans="2:13" s="43" customFormat="1" ht="15.95" customHeight="1" x14ac:dyDescent="0.25">
      <c r="B497" s="43" t="s">
        <v>893</v>
      </c>
    </row>
    <row r="498" spans="2:13" s="43" customFormat="1" ht="15.95" customHeight="1" x14ac:dyDescent="0.25">
      <c r="B498" s="43" t="s">
        <v>894</v>
      </c>
    </row>
    <row r="499" spans="2:13" s="43" customFormat="1" ht="15.95" customHeight="1" x14ac:dyDescent="0.25">
      <c r="B499" s="43" t="s">
        <v>903</v>
      </c>
    </row>
    <row r="500" spans="2:13" s="43" customFormat="1" ht="15.95" customHeight="1" x14ac:dyDescent="0.25">
      <c r="B500" s="43" t="s">
        <v>904</v>
      </c>
    </row>
    <row r="501" spans="2:13" s="43" customFormat="1" x14ac:dyDescent="0.25">
      <c r="B501" s="44"/>
      <c r="D501" s="7"/>
      <c r="E501" s="7"/>
      <c r="F501" s="7"/>
      <c r="G501" s="7"/>
      <c r="H501" s="7"/>
    </row>
    <row r="502" spans="2:13" s="43" customFormat="1" ht="24.95" customHeight="1" x14ac:dyDescent="0.25">
      <c r="B502" s="390" t="s">
        <v>892</v>
      </c>
      <c r="K502"/>
      <c r="L502"/>
      <c r="M502"/>
    </row>
    <row r="503" spans="2:13" s="43" customFormat="1" ht="15.95" customHeight="1" x14ac:dyDescent="0.25">
      <c r="B503" s="376" t="s">
        <v>239</v>
      </c>
      <c r="K503"/>
      <c r="L503"/>
      <c r="M503"/>
    </row>
    <row r="504" spans="2:13" s="43" customFormat="1" ht="15.95" customHeight="1" x14ac:dyDescent="0.25">
      <c r="B504" s="48"/>
      <c r="K504"/>
      <c r="L504"/>
      <c r="M504"/>
    </row>
    <row r="505" spans="2:13" s="43" customFormat="1" ht="20.100000000000001" customHeight="1" x14ac:dyDescent="0.25">
      <c r="B505" s="44"/>
      <c r="D505" s="578" t="s">
        <v>120</v>
      </c>
      <c r="E505" s="612"/>
      <c r="F505" s="612"/>
      <c r="G505" s="612"/>
      <c r="H505" s="579"/>
    </row>
    <row r="506" spans="2:13" s="43" customFormat="1" ht="20.100000000000001" customHeight="1" x14ac:dyDescent="0.25">
      <c r="B506" s="44"/>
      <c r="D506" s="480" t="s">
        <v>18</v>
      </c>
      <c r="E506" s="578" t="s">
        <v>21</v>
      </c>
      <c r="F506" s="612"/>
      <c r="G506" s="579"/>
      <c r="H506" s="480" t="s">
        <v>24</v>
      </c>
    </row>
    <row r="507" spans="2:13" s="43" customFormat="1" ht="20.100000000000001" customHeight="1" x14ac:dyDescent="0.25">
      <c r="B507" s="44"/>
      <c r="D507" s="481"/>
      <c r="E507" s="281" t="s">
        <v>25</v>
      </c>
      <c r="F507" s="281" t="s">
        <v>26</v>
      </c>
      <c r="G507" s="281" t="s">
        <v>299</v>
      </c>
      <c r="H507" s="481"/>
    </row>
    <row r="508" spans="2:13" s="43" customFormat="1" ht="15.95" customHeight="1" x14ac:dyDescent="0.25">
      <c r="B508" s="44"/>
      <c r="D508" s="290">
        <f>'Os juros sobre juros'!$C$90</f>
        <v>11948.130069018489</v>
      </c>
      <c r="E508" s="290">
        <f ca="1">'Os juros sobre juros'!$G$147</f>
        <v>3401.1725149814979</v>
      </c>
      <c r="F508" s="290">
        <f ca="1">'Os juros sobre juros'!$I$147</f>
        <v>1470.9375540370008</v>
      </c>
      <c r="G508" s="290">
        <f>'Os juros sobre juros'!$E$90</f>
        <v>4872.1100690184885</v>
      </c>
      <c r="H508" s="290">
        <f>'Os juros sobre juros'!$D$90</f>
        <v>7076.02</v>
      </c>
    </row>
    <row r="509" spans="2:13" s="43" customFormat="1" ht="15.95" customHeight="1" x14ac:dyDescent="0.25">
      <c r="B509" s="110"/>
    </row>
    <row r="510" spans="2:13" x14ac:dyDescent="0.25">
      <c r="B510" s="480" t="s">
        <v>64</v>
      </c>
      <c r="C510" s="480" t="s">
        <v>121</v>
      </c>
      <c r="D510" s="480" t="s">
        <v>17</v>
      </c>
      <c r="E510" s="482" t="s">
        <v>21</v>
      </c>
      <c r="F510" s="483"/>
      <c r="G510" s="484"/>
      <c r="H510" s="480" t="s">
        <v>90</v>
      </c>
      <c r="I510" s="480" t="s">
        <v>122</v>
      </c>
      <c r="K510" s="639" t="s">
        <v>125</v>
      </c>
      <c r="L510" s="640"/>
      <c r="M510" s="641"/>
    </row>
    <row r="511" spans="2:13" x14ac:dyDescent="0.25">
      <c r="B511" s="481"/>
      <c r="C511" s="481"/>
      <c r="D511" s="481"/>
      <c r="E511" s="30" t="s">
        <v>25</v>
      </c>
      <c r="F511" s="30" t="s">
        <v>26</v>
      </c>
      <c r="G511" s="30" t="s">
        <v>99</v>
      </c>
      <c r="H511" s="481"/>
      <c r="I511" s="481"/>
      <c r="K511" s="642"/>
      <c r="L511" s="643"/>
      <c r="M511" s="644"/>
    </row>
    <row r="512" spans="2:13" s="43" customFormat="1" ht="15.95" customHeight="1" x14ac:dyDescent="0.25">
      <c r="B512" s="432">
        <v>1</v>
      </c>
      <c r="C512" s="179">
        <f>'Os juros sobre juros'!$E$31</f>
        <v>7076.02</v>
      </c>
      <c r="D512" s="179">
        <f>'Os juros sobre juros'!$E$46</f>
        <v>331.89250191718025</v>
      </c>
      <c r="E512" s="326">
        <f>K512*'Os juros sobre juros'!$E$32</f>
        <v>223.60223200000004</v>
      </c>
      <c r="F512" s="326">
        <f>G512-E512</f>
        <v>0</v>
      </c>
      <c r="G512" s="326">
        <f>C512*'Os juros sobre juros'!$E$32</f>
        <v>223.60223200000004</v>
      </c>
      <c r="H512" s="179">
        <f>D512-G512</f>
        <v>108.29026991718021</v>
      </c>
      <c r="I512" s="179">
        <f>C512-H512</f>
        <v>6967.7297300828204</v>
      </c>
      <c r="K512" s="328">
        <f>'Os juros sobre juros'!$E$31</f>
        <v>7076.02</v>
      </c>
      <c r="L512" s="328">
        <f>D512/POWER(1+'Os juros sobre juros'!$E$32,B512)</f>
        <v>321.72596153274549</v>
      </c>
      <c r="M512" s="328">
        <f>K512-L512</f>
        <v>6754.2940384672547</v>
      </c>
    </row>
    <row r="513" spans="2:13" s="43" customFormat="1" ht="15.95" customHeight="1" x14ac:dyDescent="0.25">
      <c r="B513" s="433">
        <f>B512+1</f>
        <v>2</v>
      </c>
      <c r="C513" s="179">
        <f>I512</f>
        <v>6967.7297300828204</v>
      </c>
      <c r="D513" s="179">
        <f>'Os juros sobre juros'!$E$46</f>
        <v>331.89250191718025</v>
      </c>
      <c r="E513" s="327">
        <f>K513*'Os juros sobre juros'!$E$32</f>
        <v>213.43569161556528</v>
      </c>
      <c r="F513" s="327">
        <f>G513-E513</f>
        <v>6.7445678550518835</v>
      </c>
      <c r="G513" s="327">
        <f>C513*'Os juros sobre juros'!$E$32</f>
        <v>220.18025947061716</v>
      </c>
      <c r="H513" s="179">
        <f t="shared" ref="H513:H547" si="19">D513-G513</f>
        <v>111.7122424465631</v>
      </c>
      <c r="I513" s="179">
        <f>C513-H513</f>
        <v>6856.0174876362571</v>
      </c>
      <c r="K513" s="328">
        <f>M512</f>
        <v>6754.2940384672547</v>
      </c>
      <c r="L513" s="328">
        <f>D513/POWER(1+'Os juros sobre juros'!$E$32,B513)</f>
        <v>311.87084289719411</v>
      </c>
      <c r="M513" s="328">
        <f t="shared" ref="M513:M547" si="20">K513-L513</f>
        <v>6442.4231955700607</v>
      </c>
    </row>
    <row r="514" spans="2:13" s="43" customFormat="1" ht="15.95" customHeight="1" x14ac:dyDescent="0.25">
      <c r="B514" s="142">
        <f t="shared" ref="B514:B547" si="21">B513+1</f>
        <v>3</v>
      </c>
      <c r="C514" s="179">
        <f t="shared" ref="C514:C547" si="22">I513</f>
        <v>6856.0174876362571</v>
      </c>
      <c r="D514" s="179">
        <f>'Os juros sobre juros'!$E$46</f>
        <v>331.89250191718025</v>
      </c>
      <c r="E514" s="179">
        <f>K514*'Os juros sobre juros'!$E$32</f>
        <v>203.58057298001393</v>
      </c>
      <c r="F514" s="179">
        <f t="shared" ref="F514:F547" si="23">G514-E514</f>
        <v>13.069579629291809</v>
      </c>
      <c r="G514" s="179">
        <f>C514*'Os juros sobre juros'!$E$32</f>
        <v>216.65015260930574</v>
      </c>
      <c r="H514" s="179">
        <f t="shared" si="19"/>
        <v>115.24234930787452</v>
      </c>
      <c r="I514" s="179">
        <f t="shared" ref="I514:I547" si="24">C514-H514</f>
        <v>6740.775138328383</v>
      </c>
      <c r="K514" s="328">
        <f t="shared" ref="K514:K547" si="25">M513</f>
        <v>6442.4231955700607</v>
      </c>
      <c r="L514" s="328">
        <f>D514/POWER(1+'Os juros sobre juros'!$E$32,B514)</f>
        <v>302.31760653082017</v>
      </c>
      <c r="M514" s="328">
        <f t="shared" si="20"/>
        <v>6140.1055890392408</v>
      </c>
    </row>
    <row r="515" spans="2:13" s="43" customFormat="1" ht="15.95" customHeight="1" x14ac:dyDescent="0.25">
      <c r="B515" s="142">
        <f t="shared" si="21"/>
        <v>4</v>
      </c>
      <c r="C515" s="179">
        <f t="shared" si="22"/>
        <v>6740.775138328383</v>
      </c>
      <c r="D515" s="179">
        <f>'Os juros sobre juros'!$E$46</f>
        <v>331.89250191718025</v>
      </c>
      <c r="E515" s="179">
        <f>K515*'Os juros sobre juros'!$E$32</f>
        <v>194.02733661364002</v>
      </c>
      <c r="F515" s="179">
        <f t="shared" si="23"/>
        <v>18.98115775753692</v>
      </c>
      <c r="G515" s="179">
        <f>C515*'Os juros sobre juros'!$E$32</f>
        <v>213.00849437117694</v>
      </c>
      <c r="H515" s="179">
        <f t="shared" si="19"/>
        <v>118.88400754600332</v>
      </c>
      <c r="I515" s="179">
        <f t="shared" si="24"/>
        <v>6621.8911307823801</v>
      </c>
      <c r="K515" s="328">
        <f t="shared" si="25"/>
        <v>6140.1055890392408</v>
      </c>
      <c r="L515" s="328">
        <f>D515/POWER(1+'Os juros sobre juros'!$E$32,B515)</f>
        <v>293.05700516752637</v>
      </c>
      <c r="M515" s="328">
        <f t="shared" si="20"/>
        <v>5847.0485838717141</v>
      </c>
    </row>
    <row r="516" spans="2:13" s="43" customFormat="1" ht="15.95" customHeight="1" x14ac:dyDescent="0.25">
      <c r="B516" s="142">
        <f t="shared" si="21"/>
        <v>5</v>
      </c>
      <c r="C516" s="179">
        <f t="shared" si="22"/>
        <v>6621.8911307823801</v>
      </c>
      <c r="D516" s="179">
        <f>'Os juros sobre juros'!$E$46</f>
        <v>331.89250191718025</v>
      </c>
      <c r="E516" s="179">
        <f>K516*'Os juros sobre juros'!$E$32</f>
        <v>184.76673525034619</v>
      </c>
      <c r="F516" s="179">
        <f t="shared" si="23"/>
        <v>24.485024482377042</v>
      </c>
      <c r="G516" s="179">
        <f>C516*'Os juros sobre juros'!$E$32</f>
        <v>209.25175973272323</v>
      </c>
      <c r="H516" s="179">
        <f t="shared" si="19"/>
        <v>122.64074218445703</v>
      </c>
      <c r="I516" s="179">
        <f t="shared" si="24"/>
        <v>6499.2503885979231</v>
      </c>
      <c r="K516" s="328">
        <f t="shared" si="25"/>
        <v>5847.0485838717141</v>
      </c>
      <c r="L516" s="328">
        <f>D516/POWER(1+'Os juros sobre juros'!$E$32,B516)</f>
        <v>284.08007480372851</v>
      </c>
      <c r="M516" s="328">
        <f t="shared" si="20"/>
        <v>5562.9685090679859</v>
      </c>
    </row>
    <row r="517" spans="2:13" s="43" customFormat="1" ht="15.95" customHeight="1" x14ac:dyDescent="0.25">
      <c r="B517" s="142">
        <f t="shared" si="21"/>
        <v>6</v>
      </c>
      <c r="C517" s="179">
        <f t="shared" si="22"/>
        <v>6499.2503885979231</v>
      </c>
      <c r="D517" s="179">
        <f>'Os juros sobre juros'!$E$46</f>
        <v>331.89250191718025</v>
      </c>
      <c r="E517" s="179">
        <f>K517*'Os juros sobre juros'!$E$32</f>
        <v>175.78980488654838</v>
      </c>
      <c r="F517" s="179">
        <f t="shared" si="23"/>
        <v>29.586507393146007</v>
      </c>
      <c r="G517" s="179">
        <f>C517*'Os juros sobre juros'!$E$32</f>
        <v>205.37631227969439</v>
      </c>
      <c r="H517" s="179">
        <f t="shared" si="19"/>
        <v>126.51618963748587</v>
      </c>
      <c r="I517" s="179">
        <f t="shared" si="24"/>
        <v>6372.7341989604374</v>
      </c>
      <c r="K517" s="328">
        <f t="shared" si="25"/>
        <v>5562.9685090679859</v>
      </c>
      <c r="L517" s="328">
        <f>D517/POWER(1+'Os juros sobre juros'!$E$32,B517)</f>
        <v>275.37812602145067</v>
      </c>
      <c r="M517" s="328">
        <f t="shared" si="20"/>
        <v>5287.590383046535</v>
      </c>
    </row>
    <row r="518" spans="2:13" s="43" customFormat="1" ht="15.95" customHeight="1" x14ac:dyDescent="0.25">
      <c r="B518" s="142">
        <f t="shared" si="21"/>
        <v>7</v>
      </c>
      <c r="C518" s="179">
        <f t="shared" si="22"/>
        <v>6372.7341989604374</v>
      </c>
      <c r="D518" s="179">
        <f>'Os juros sobre juros'!$E$46</f>
        <v>331.89250191718025</v>
      </c>
      <c r="E518" s="179">
        <f>K518*'Os juros sobre juros'!$E$32</f>
        <v>167.08785610427051</v>
      </c>
      <c r="F518" s="179">
        <f t="shared" si="23"/>
        <v>34.290544582879335</v>
      </c>
      <c r="G518" s="179">
        <f>C518*'Os juros sobre juros'!$E$32</f>
        <v>201.37840068714985</v>
      </c>
      <c r="H518" s="179">
        <f t="shared" si="19"/>
        <v>130.51410123003041</v>
      </c>
      <c r="I518" s="179">
        <f t="shared" si="24"/>
        <v>6242.2200977304074</v>
      </c>
      <c r="K518" s="328">
        <f t="shared" si="25"/>
        <v>5287.590383046535</v>
      </c>
      <c r="L518" s="328">
        <f>D518/POWER(1+'Os juros sobre juros'!$E$32,B518)</f>
        <v>266.94273557721073</v>
      </c>
      <c r="M518" s="328">
        <f t="shared" si="20"/>
        <v>5020.6476474693245</v>
      </c>
    </row>
    <row r="519" spans="2:13" s="43" customFormat="1" ht="15.95" customHeight="1" x14ac:dyDescent="0.25">
      <c r="B519" s="142">
        <f t="shared" si="21"/>
        <v>8</v>
      </c>
      <c r="C519" s="179">
        <f t="shared" si="22"/>
        <v>6242.2200977304074</v>
      </c>
      <c r="D519" s="179">
        <f>'Os juros sobre juros'!$E$46</f>
        <v>331.89250191718025</v>
      </c>
      <c r="E519" s="179">
        <f>K519*'Os juros sobre juros'!$E$32</f>
        <v>158.65246566003066</v>
      </c>
      <c r="F519" s="179">
        <f t="shared" si="23"/>
        <v>38.601689428250239</v>
      </c>
      <c r="G519" s="179">
        <f>C519*'Os juros sobre juros'!$E$32</f>
        <v>197.2541550882809</v>
      </c>
      <c r="H519" s="179">
        <f t="shared" si="19"/>
        <v>134.63834682889936</v>
      </c>
      <c r="I519" s="179">
        <f t="shared" si="24"/>
        <v>6107.5817509015078</v>
      </c>
      <c r="K519" s="328">
        <f t="shared" si="25"/>
        <v>5020.6476474693245</v>
      </c>
      <c r="L519" s="328">
        <f>D519/POWER(1+'Os juros sobre juros'!$E$32,B519)</f>
        <v>258.76573824855637</v>
      </c>
      <c r="M519" s="328">
        <f t="shared" si="20"/>
        <v>4761.8819092207677</v>
      </c>
    </row>
    <row r="520" spans="2:13" s="43" customFormat="1" ht="15.95" customHeight="1" x14ac:dyDescent="0.25">
      <c r="B520" s="142">
        <f t="shared" si="21"/>
        <v>9</v>
      </c>
      <c r="C520" s="179">
        <f t="shared" si="22"/>
        <v>6107.5817509015078</v>
      </c>
      <c r="D520" s="179">
        <f>'Os juros sobre juros'!$E$46</f>
        <v>331.89250191718025</v>
      </c>
      <c r="E520" s="179">
        <f>K520*'Os juros sobre juros'!$E$32</f>
        <v>150.47546833137628</v>
      </c>
      <c r="F520" s="179">
        <f t="shared" si="23"/>
        <v>42.524114997111383</v>
      </c>
      <c r="G520" s="179">
        <f>C520*'Os juros sobre juros'!$E$32</f>
        <v>192.99958332848766</v>
      </c>
      <c r="H520" s="179">
        <f t="shared" si="19"/>
        <v>138.89291858869259</v>
      </c>
      <c r="I520" s="179">
        <f t="shared" si="24"/>
        <v>5968.6888323128151</v>
      </c>
      <c r="K520" s="328">
        <f t="shared" si="25"/>
        <v>4761.8819092207677</v>
      </c>
      <c r="L520" s="328">
        <f>D520/POWER(1+'Os juros sobre juros'!$E$32,B520)</f>
        <v>250.83921893035711</v>
      </c>
      <c r="M520" s="328">
        <f t="shared" si="20"/>
        <v>4511.042690290411</v>
      </c>
    </row>
    <row r="521" spans="2:13" s="43" customFormat="1" ht="15.95" customHeight="1" x14ac:dyDescent="0.25">
      <c r="B521" s="142">
        <f t="shared" si="21"/>
        <v>10</v>
      </c>
      <c r="C521" s="179">
        <f t="shared" si="22"/>
        <v>5968.6888323128151</v>
      </c>
      <c r="D521" s="179">
        <f>'Os juros sobre juros'!$E$46</f>
        <v>331.89250191718025</v>
      </c>
      <c r="E521" s="179">
        <f>K521*'Os juros sobre juros'!$E$32</f>
        <v>142.54894901317701</v>
      </c>
      <c r="F521" s="179">
        <f t="shared" si="23"/>
        <v>46.061618087907959</v>
      </c>
      <c r="G521" s="179">
        <f>C521*'Os juros sobre juros'!$E$32</f>
        <v>188.61056710108497</v>
      </c>
      <c r="H521" s="179">
        <f t="shared" si="19"/>
        <v>143.28193481609529</v>
      </c>
      <c r="I521" s="179">
        <f t="shared" si="24"/>
        <v>5825.4068974967195</v>
      </c>
      <c r="K521" s="328">
        <f t="shared" si="25"/>
        <v>4511.042690290411</v>
      </c>
      <c r="L521" s="328">
        <f>D521/POWER(1+'Os juros sobre juros'!$E$32,B521)</f>
        <v>243.15550497320385</v>
      </c>
      <c r="M521" s="328">
        <f t="shared" si="20"/>
        <v>4267.8871853172068</v>
      </c>
    </row>
    <row r="522" spans="2:13" s="43" customFormat="1" ht="15.95" customHeight="1" x14ac:dyDescent="0.25">
      <c r="B522" s="142">
        <f t="shared" si="21"/>
        <v>11</v>
      </c>
      <c r="C522" s="179">
        <f t="shared" si="22"/>
        <v>5825.4068974967195</v>
      </c>
      <c r="D522" s="179">
        <f>'Os juros sobre juros'!$E$46</f>
        <v>331.89250191718025</v>
      </c>
      <c r="E522" s="179">
        <f>K522*'Os juros sobre juros'!$E$32</f>
        <v>134.86523505602375</v>
      </c>
      <c r="F522" s="179">
        <f t="shared" si="23"/>
        <v>49.217622904872599</v>
      </c>
      <c r="G522" s="179">
        <f>C522*'Os juros sobre juros'!$E$32</f>
        <v>184.08285796089635</v>
      </c>
      <c r="H522" s="179">
        <f t="shared" si="19"/>
        <v>147.80964395628391</v>
      </c>
      <c r="I522" s="179">
        <f t="shared" si="24"/>
        <v>5677.5972535404353</v>
      </c>
      <c r="K522" s="328">
        <f t="shared" si="25"/>
        <v>4267.8871853172068</v>
      </c>
      <c r="L522" s="328">
        <f>D522/POWER(1+'Os juros sobre juros'!$E$32,B522)</f>
        <v>235.70715875649844</v>
      </c>
      <c r="M522" s="328">
        <f t="shared" si="20"/>
        <v>4032.1800265607085</v>
      </c>
    </row>
    <row r="523" spans="2:13" s="43" customFormat="1" ht="15.95" customHeight="1" x14ac:dyDescent="0.25">
      <c r="B523" s="142">
        <f t="shared" si="21"/>
        <v>12</v>
      </c>
      <c r="C523" s="179">
        <f t="shared" si="22"/>
        <v>5677.5972535404353</v>
      </c>
      <c r="D523" s="179">
        <f>'Os juros sobre juros'!$E$46</f>
        <v>331.89250191718025</v>
      </c>
      <c r="E523" s="179">
        <f>K523*'Os juros sobre juros'!$E$32</f>
        <v>127.4168888393184</v>
      </c>
      <c r="F523" s="179">
        <f t="shared" si="23"/>
        <v>51.995184372559379</v>
      </c>
      <c r="G523" s="179">
        <f>C523*'Os juros sobre juros'!$E$32</f>
        <v>179.41207321187778</v>
      </c>
      <c r="H523" s="179">
        <f t="shared" si="19"/>
        <v>152.48042870530247</v>
      </c>
      <c r="I523" s="179">
        <f t="shared" si="24"/>
        <v>5525.1168248351332</v>
      </c>
      <c r="K523" s="328">
        <f t="shared" si="25"/>
        <v>4032.1800265607085</v>
      </c>
      <c r="L523" s="328">
        <f>D523/POWER(1+'Os juros sobre juros'!$E$32,B523)</f>
        <v>228.48697048904467</v>
      </c>
      <c r="M523" s="328">
        <f t="shared" si="20"/>
        <v>3803.6930560716637</v>
      </c>
    </row>
    <row r="524" spans="2:13" s="43" customFormat="1" ht="15.95" customHeight="1" x14ac:dyDescent="0.25">
      <c r="B524" s="142">
        <f t="shared" si="21"/>
        <v>13</v>
      </c>
      <c r="C524" s="179">
        <f t="shared" si="22"/>
        <v>5525.1168248351332</v>
      </c>
      <c r="D524" s="179">
        <f>'Os juros sobre juros'!$E$46</f>
        <v>331.89250191718025</v>
      </c>
      <c r="E524" s="179">
        <f>K524*'Os juros sobre juros'!$E$32</f>
        <v>120.19670057186458</v>
      </c>
      <c r="F524" s="179">
        <f t="shared" si="23"/>
        <v>54.396991092925632</v>
      </c>
      <c r="G524" s="179">
        <f>C524*'Os juros sobre juros'!$E$32</f>
        <v>174.59369166479021</v>
      </c>
      <c r="H524" s="179">
        <f t="shared" si="19"/>
        <v>157.29881025239004</v>
      </c>
      <c r="I524" s="179">
        <f t="shared" si="24"/>
        <v>5367.8180145827428</v>
      </c>
      <c r="K524" s="328">
        <f t="shared" si="25"/>
        <v>3803.6930560716637</v>
      </c>
      <c r="L524" s="328">
        <f>D524/POWER(1+'Os juros sobre juros'!$E$32,B524)</f>
        <v>221.48795123017123</v>
      </c>
      <c r="M524" s="328">
        <f t="shared" si="20"/>
        <v>3582.2051048414924</v>
      </c>
    </row>
    <row r="525" spans="2:13" s="43" customFormat="1" ht="15.95" customHeight="1" x14ac:dyDescent="0.25">
      <c r="B525" s="142">
        <f t="shared" si="21"/>
        <v>14</v>
      </c>
      <c r="C525" s="179">
        <f t="shared" si="22"/>
        <v>5367.8180145827428</v>
      </c>
      <c r="D525" s="179">
        <f>'Os juros sobre juros'!$E$46</f>
        <v>331.89250191718025</v>
      </c>
      <c r="E525" s="179">
        <f>K525*'Os juros sobre juros'!$E$32</f>
        <v>113.19768131299116</v>
      </c>
      <c r="F525" s="179">
        <f t="shared" si="23"/>
        <v>56.425367947823531</v>
      </c>
      <c r="G525" s="179">
        <f>C525*'Os juros sobre juros'!$E$32</f>
        <v>169.6230492608147</v>
      </c>
      <c r="H525" s="179">
        <f t="shared" si="19"/>
        <v>162.26945265636556</v>
      </c>
      <c r="I525" s="179">
        <f t="shared" si="24"/>
        <v>5205.5485619263773</v>
      </c>
      <c r="K525" s="328">
        <f t="shared" si="25"/>
        <v>3582.2051048414924</v>
      </c>
      <c r="L525" s="328">
        <f>D525/POWER(1+'Os juros sobre juros'!$E$32,B525)</f>
        <v>214.70332612463284</v>
      </c>
      <c r="M525" s="328">
        <f t="shared" si="20"/>
        <v>3367.5017787168595</v>
      </c>
    </row>
    <row r="526" spans="2:13" s="43" customFormat="1" ht="15.95" customHeight="1" x14ac:dyDescent="0.25">
      <c r="B526" s="142">
        <f t="shared" si="21"/>
        <v>15</v>
      </c>
      <c r="C526" s="179">
        <f t="shared" si="22"/>
        <v>5205.5485619263773</v>
      </c>
      <c r="D526" s="179">
        <f>'Os juros sobre juros'!$E$46</f>
        <v>331.89250191718025</v>
      </c>
      <c r="E526" s="179">
        <f>K526*'Os juros sobre juros'!$E$32</f>
        <v>106.41305620745277</v>
      </c>
      <c r="F526" s="179">
        <f t="shared" si="23"/>
        <v>58.082278349420761</v>
      </c>
      <c r="G526" s="179">
        <f>C526*'Os juros sobre juros'!$E$32</f>
        <v>164.49533455687353</v>
      </c>
      <c r="H526" s="179">
        <f t="shared" si="19"/>
        <v>167.39716736030672</v>
      </c>
      <c r="I526" s="179">
        <f t="shared" si="24"/>
        <v>5038.1513945660708</v>
      </c>
      <c r="K526" s="328">
        <f t="shared" si="25"/>
        <v>3367.5017787168595</v>
      </c>
      <c r="L526" s="328">
        <f>D526/POWER(1+'Os juros sobre juros'!$E$32,B526)</f>
        <v>208.12652784473903</v>
      </c>
      <c r="M526" s="328">
        <f t="shared" si="20"/>
        <v>3159.3752508721204</v>
      </c>
    </row>
    <row r="527" spans="2:13" s="43" customFormat="1" ht="15.95" customHeight="1" x14ac:dyDescent="0.25">
      <c r="B527" s="142">
        <f t="shared" si="21"/>
        <v>16</v>
      </c>
      <c r="C527" s="179">
        <f t="shared" si="22"/>
        <v>5038.1513945660708</v>
      </c>
      <c r="D527" s="179">
        <f>'Os juros sobre juros'!$E$46</f>
        <v>331.89250191718025</v>
      </c>
      <c r="E527" s="179">
        <f>K527*'Os juros sobre juros'!$E$32</f>
        <v>99.836257927559018</v>
      </c>
      <c r="F527" s="179">
        <f t="shared" si="23"/>
        <v>59.369326140728845</v>
      </c>
      <c r="G527" s="179">
        <f>C527*'Os juros sobre juros'!$E$32</f>
        <v>159.20558406828786</v>
      </c>
      <c r="H527" s="179">
        <f t="shared" si="19"/>
        <v>172.68691784889239</v>
      </c>
      <c r="I527" s="179">
        <f t="shared" si="24"/>
        <v>4865.4644767171785</v>
      </c>
      <c r="K527" s="328">
        <f t="shared" si="25"/>
        <v>3159.3752508721204</v>
      </c>
      <c r="L527" s="328">
        <f>D527/POWER(1+'Os juros sobre juros'!$E$32,B527)</f>
        <v>201.75119023336472</v>
      </c>
      <c r="M527" s="328">
        <f t="shared" si="20"/>
        <v>2957.6240606387555</v>
      </c>
    </row>
    <row r="528" spans="2:13" s="43" customFormat="1" ht="15.95" customHeight="1" x14ac:dyDescent="0.25">
      <c r="B528" s="142">
        <f t="shared" si="21"/>
        <v>17</v>
      </c>
      <c r="C528" s="179">
        <f t="shared" si="22"/>
        <v>4865.4644767171785</v>
      </c>
      <c r="D528" s="179">
        <f>'Os juros sobre juros'!$E$46</f>
        <v>331.89250191718025</v>
      </c>
      <c r="E528" s="179">
        <f>K528*'Os juros sobre juros'!$E$32</f>
        <v>93.460920316184684</v>
      </c>
      <c r="F528" s="179">
        <f t="shared" si="23"/>
        <v>60.287757148078185</v>
      </c>
      <c r="G528" s="179">
        <f>C528*'Os juros sobre juros'!$E$32</f>
        <v>153.74867746426287</v>
      </c>
      <c r="H528" s="179">
        <f t="shared" si="19"/>
        <v>178.14382445291739</v>
      </c>
      <c r="I528" s="179">
        <f t="shared" si="24"/>
        <v>4687.3206522642613</v>
      </c>
      <c r="K528" s="328">
        <f t="shared" si="25"/>
        <v>2957.6240606387555</v>
      </c>
      <c r="L528" s="328">
        <f>D528/POWER(1+'Os juros sobre juros'!$E$32,B528)</f>
        <v>195.57114214168737</v>
      </c>
      <c r="M528" s="328">
        <f t="shared" si="20"/>
        <v>2762.0529184970683</v>
      </c>
    </row>
    <row r="529" spans="2:13" s="43" customFormat="1" ht="15.95" customHeight="1" x14ac:dyDescent="0.25">
      <c r="B529" s="142">
        <f t="shared" si="21"/>
        <v>18</v>
      </c>
      <c r="C529" s="179">
        <f t="shared" si="22"/>
        <v>4687.3206522642613</v>
      </c>
      <c r="D529" s="179">
        <f>'Os juros sobre juros'!$E$46</f>
        <v>331.89250191718025</v>
      </c>
      <c r="E529" s="179">
        <f>K529*'Os juros sobre juros'!$E$32</f>
        <v>87.280872224507362</v>
      </c>
      <c r="F529" s="179">
        <f t="shared" si="23"/>
        <v>60.838460387043312</v>
      </c>
      <c r="G529" s="179">
        <f>C529*'Os juros sobre juros'!$E$32</f>
        <v>148.11933261155067</v>
      </c>
      <c r="H529" s="179">
        <f t="shared" si="19"/>
        <v>183.77316930562958</v>
      </c>
      <c r="I529" s="179">
        <f t="shared" si="24"/>
        <v>4503.5474829586319</v>
      </c>
      <c r="K529" s="328">
        <f t="shared" si="25"/>
        <v>2762.0529184970683</v>
      </c>
      <c r="L529" s="328">
        <f>D529/POWER(1+'Os juros sobre juros'!$E$32,B529)</f>
        <v>189.58040145568765</v>
      </c>
      <c r="M529" s="328">
        <f t="shared" si="20"/>
        <v>2572.4725170413808</v>
      </c>
    </row>
    <row r="530" spans="2:13" s="43" customFormat="1" ht="15.95" customHeight="1" x14ac:dyDescent="0.25">
      <c r="B530" s="142">
        <f t="shared" si="21"/>
        <v>19</v>
      </c>
      <c r="C530" s="179">
        <f t="shared" si="22"/>
        <v>4503.5474829586319</v>
      </c>
      <c r="D530" s="179">
        <f>'Os juros sobre juros'!$E$46</f>
        <v>331.89250191718025</v>
      </c>
      <c r="E530" s="179">
        <f>K530*'Os juros sobre juros'!$E$32</f>
        <v>81.290131538507637</v>
      </c>
      <c r="F530" s="179">
        <f t="shared" si="23"/>
        <v>61.021968922985138</v>
      </c>
      <c r="G530" s="179">
        <f>C530*'Os juros sobre juros'!$E$32</f>
        <v>142.31210046149278</v>
      </c>
      <c r="H530" s="179">
        <f t="shared" si="19"/>
        <v>189.58040145568748</v>
      </c>
      <c r="I530" s="179">
        <f t="shared" si="24"/>
        <v>4313.967081502944</v>
      </c>
      <c r="K530" s="328">
        <f t="shared" si="25"/>
        <v>2572.4725170413808</v>
      </c>
      <c r="L530" s="328">
        <f>D530/POWER(1+'Os juros sobre juros'!$E$32,B530)</f>
        <v>183.77316930562972</v>
      </c>
      <c r="M530" s="328">
        <f t="shared" si="20"/>
        <v>2388.699347735751</v>
      </c>
    </row>
    <row r="531" spans="2:13" s="43" customFormat="1" ht="15.95" customHeight="1" x14ac:dyDescent="0.25">
      <c r="B531" s="142">
        <f t="shared" si="21"/>
        <v>20</v>
      </c>
      <c r="C531" s="179">
        <f t="shared" si="22"/>
        <v>4313.967081502944</v>
      </c>
      <c r="D531" s="179">
        <f>'Os juros sobre juros'!$E$46</f>
        <v>331.89250191718025</v>
      </c>
      <c r="E531" s="179">
        <f>K531*'Os juros sobre juros'!$E$32</f>
        <v>75.482899388449738</v>
      </c>
      <c r="F531" s="179">
        <f t="shared" si="23"/>
        <v>60.838460387043312</v>
      </c>
      <c r="G531" s="179">
        <f>C531*'Os juros sobre juros'!$E$32</f>
        <v>136.32135977549305</v>
      </c>
      <c r="H531" s="179">
        <f t="shared" si="19"/>
        <v>195.5711421416872</v>
      </c>
      <c r="I531" s="179">
        <f t="shared" si="24"/>
        <v>4118.3959393612568</v>
      </c>
      <c r="K531" s="328">
        <f t="shared" si="25"/>
        <v>2388.699347735751</v>
      </c>
      <c r="L531" s="328">
        <f>D531/POWER(1+'Os juros sobre juros'!$E$32,B531)</f>
        <v>178.14382445291756</v>
      </c>
      <c r="M531" s="328">
        <f t="shared" si="20"/>
        <v>2210.5555232828333</v>
      </c>
    </row>
    <row r="532" spans="2:13" s="43" customFormat="1" ht="15.95" customHeight="1" x14ac:dyDescent="0.25">
      <c r="B532" s="142">
        <f t="shared" si="21"/>
        <v>21</v>
      </c>
      <c r="C532" s="179">
        <f t="shared" si="22"/>
        <v>4118.3959393612568</v>
      </c>
      <c r="D532" s="179">
        <f>'Os juros sobre juros'!$E$46</f>
        <v>331.89250191718025</v>
      </c>
      <c r="E532" s="179">
        <f>K532*'Os juros sobre juros'!$E$32</f>
        <v>69.853554535737544</v>
      </c>
      <c r="F532" s="179">
        <f t="shared" si="23"/>
        <v>60.287757148078185</v>
      </c>
      <c r="G532" s="179">
        <f>C532*'Os juros sobre juros'!$E$32</f>
        <v>130.14131168381573</v>
      </c>
      <c r="H532" s="179">
        <f t="shared" si="19"/>
        <v>201.75119023336453</v>
      </c>
      <c r="I532" s="179">
        <f t="shared" si="24"/>
        <v>3916.6447491278923</v>
      </c>
      <c r="K532" s="328">
        <f t="shared" si="25"/>
        <v>2210.5555232828333</v>
      </c>
      <c r="L532" s="328">
        <f>D532/POWER(1+'Os juros sobre juros'!$E$32,B532)</f>
        <v>172.68691784889253</v>
      </c>
      <c r="M532" s="328">
        <f t="shared" si="20"/>
        <v>2037.8686054339407</v>
      </c>
    </row>
    <row r="533" spans="2:13" s="43" customFormat="1" ht="15.95" customHeight="1" x14ac:dyDescent="0.25">
      <c r="B533" s="142">
        <f t="shared" si="21"/>
        <v>22</v>
      </c>
      <c r="C533" s="179">
        <f t="shared" si="22"/>
        <v>3916.6447491278923</v>
      </c>
      <c r="D533" s="179">
        <f>'Os juros sobre juros'!$E$46</f>
        <v>331.89250191718025</v>
      </c>
      <c r="E533" s="179">
        <f>K533*'Os juros sobre juros'!$E$32</f>
        <v>64.396647931712536</v>
      </c>
      <c r="F533" s="179">
        <f t="shared" si="23"/>
        <v>59.369326140728873</v>
      </c>
      <c r="G533" s="179">
        <f>C533*'Os juros sobre juros'!$E$32</f>
        <v>123.76597407244141</v>
      </c>
      <c r="H533" s="179">
        <f t="shared" si="19"/>
        <v>208.12652784473886</v>
      </c>
      <c r="I533" s="179">
        <f t="shared" si="24"/>
        <v>3708.5182212831533</v>
      </c>
      <c r="K533" s="328">
        <f t="shared" si="25"/>
        <v>2037.8686054339407</v>
      </c>
      <c r="L533" s="328">
        <f>D533/POWER(1+'Os juros sobre juros'!$E$32,B533)</f>
        <v>167.39716736030684</v>
      </c>
      <c r="M533" s="328">
        <f t="shared" si="20"/>
        <v>1870.4714380736339</v>
      </c>
    </row>
    <row r="534" spans="2:13" s="43" customFormat="1" ht="15.95" customHeight="1" x14ac:dyDescent="0.25">
      <c r="B534" s="142">
        <f t="shared" si="21"/>
        <v>23</v>
      </c>
      <c r="C534" s="179">
        <f t="shared" si="22"/>
        <v>3708.5182212831533</v>
      </c>
      <c r="D534" s="179">
        <f>'Os juros sobre juros'!$E$46</f>
        <v>331.89250191718025</v>
      </c>
      <c r="E534" s="179">
        <f>K534*'Os juros sobre juros'!$E$32</f>
        <v>59.106897443126833</v>
      </c>
      <c r="F534" s="179">
        <f t="shared" si="23"/>
        <v>58.082278349420825</v>
      </c>
      <c r="G534" s="179">
        <f>C534*'Os juros sobre juros'!$E$32</f>
        <v>117.18917579254766</v>
      </c>
      <c r="H534" s="179">
        <f t="shared" si="19"/>
        <v>214.70332612463261</v>
      </c>
      <c r="I534" s="179">
        <f t="shared" si="24"/>
        <v>3493.8148951585208</v>
      </c>
      <c r="K534" s="328">
        <f t="shared" si="25"/>
        <v>1870.4714380736339</v>
      </c>
      <c r="L534" s="328">
        <f>D534/POWER(1+'Os juros sobre juros'!$E$32,B534)</f>
        <v>162.26945265636564</v>
      </c>
      <c r="M534" s="328">
        <f t="shared" si="20"/>
        <v>1708.2019854172681</v>
      </c>
    </row>
    <row r="535" spans="2:13" s="43" customFormat="1" ht="15.95" customHeight="1" x14ac:dyDescent="0.25">
      <c r="B535" s="142">
        <f t="shared" si="21"/>
        <v>24</v>
      </c>
      <c r="C535" s="179">
        <f t="shared" si="22"/>
        <v>3493.8148951585208</v>
      </c>
      <c r="D535" s="179">
        <f>'Os juros sobre juros'!$E$46</f>
        <v>331.89250191718025</v>
      </c>
      <c r="E535" s="179">
        <f>K535*'Os juros sobre juros'!$E$32</f>
        <v>53.979182739185681</v>
      </c>
      <c r="F535" s="179">
        <f t="shared" si="23"/>
        <v>56.425367947823581</v>
      </c>
      <c r="G535" s="179">
        <f>C535*'Os juros sobre juros'!$E$32</f>
        <v>110.40455068700926</v>
      </c>
      <c r="H535" s="179">
        <f t="shared" si="19"/>
        <v>221.48795123017101</v>
      </c>
      <c r="I535" s="179">
        <f t="shared" si="24"/>
        <v>3272.3269439283499</v>
      </c>
      <c r="K535" s="328">
        <f t="shared" si="25"/>
        <v>1708.2019854172681</v>
      </c>
      <c r="L535" s="328">
        <f>D535/POWER(1+'Os juros sobre juros'!$E$32,B535)</f>
        <v>157.29881025239013</v>
      </c>
      <c r="M535" s="328">
        <f t="shared" si="20"/>
        <v>1550.9031751648781</v>
      </c>
    </row>
    <row r="536" spans="2:13" s="43" customFormat="1" ht="15.95" customHeight="1" x14ac:dyDescent="0.25">
      <c r="B536" s="142">
        <f t="shared" si="21"/>
        <v>25</v>
      </c>
      <c r="C536" s="179">
        <f t="shared" si="22"/>
        <v>3272.3269439283499</v>
      </c>
      <c r="D536" s="179">
        <f>'Os juros sobre juros'!$E$46</f>
        <v>331.89250191718025</v>
      </c>
      <c r="E536" s="179">
        <f>K536*'Os juros sobre juros'!$E$32</f>
        <v>49.008540335210157</v>
      </c>
      <c r="F536" s="179">
        <f t="shared" si="23"/>
        <v>54.396991092925717</v>
      </c>
      <c r="G536" s="179">
        <f>C536*'Os juros sobre juros'!$E$32</f>
        <v>103.40553142813587</v>
      </c>
      <c r="H536" s="179">
        <f t="shared" si="19"/>
        <v>228.48697048904438</v>
      </c>
      <c r="I536" s="179">
        <f t="shared" si="24"/>
        <v>3043.8399734393056</v>
      </c>
      <c r="K536" s="328">
        <f t="shared" si="25"/>
        <v>1550.9031751648781</v>
      </c>
      <c r="L536" s="328">
        <f>D536/POWER(1+'Os juros sobre juros'!$E$32,B536)</f>
        <v>152.48042870530256</v>
      </c>
      <c r="M536" s="328">
        <f t="shared" si="20"/>
        <v>1398.4227464595756</v>
      </c>
    </row>
    <row r="537" spans="2:13" s="43" customFormat="1" ht="15.95" customHeight="1" x14ac:dyDescent="0.25">
      <c r="B537" s="142">
        <f t="shared" si="21"/>
        <v>26</v>
      </c>
      <c r="C537" s="179">
        <f t="shared" si="22"/>
        <v>3043.8399734393056</v>
      </c>
      <c r="D537" s="179">
        <f>'Os juros sobre juros'!$E$46</f>
        <v>331.89250191718025</v>
      </c>
      <c r="E537" s="179">
        <f>K537*'Os juros sobre juros'!$E$32</f>
        <v>44.190158788122595</v>
      </c>
      <c r="F537" s="179">
        <f t="shared" si="23"/>
        <v>51.995184372559471</v>
      </c>
      <c r="G537" s="179">
        <f>C537*'Os juros sobre juros'!$E$32</f>
        <v>96.185343160682066</v>
      </c>
      <c r="H537" s="179">
        <f t="shared" si="19"/>
        <v>235.70715875649819</v>
      </c>
      <c r="I537" s="179">
        <f t="shared" si="24"/>
        <v>2808.1328146828073</v>
      </c>
      <c r="K537" s="328">
        <f t="shared" si="25"/>
        <v>1398.4227464595756</v>
      </c>
      <c r="L537" s="328">
        <f>D537/POWER(1+'Os juros sobre juros'!$E$32,B537)</f>
        <v>147.80964395628396</v>
      </c>
      <c r="M537" s="328">
        <f t="shared" si="20"/>
        <v>1250.6131025032917</v>
      </c>
    </row>
    <row r="538" spans="2:13" s="43" customFormat="1" ht="15.95" customHeight="1" x14ac:dyDescent="0.25">
      <c r="B538" s="142">
        <f t="shared" si="21"/>
        <v>27</v>
      </c>
      <c r="C538" s="179">
        <f t="shared" si="22"/>
        <v>2808.1328146828073</v>
      </c>
      <c r="D538" s="179">
        <f>'Os juros sobre juros'!$E$46</f>
        <v>331.89250191718025</v>
      </c>
      <c r="E538" s="179">
        <f>K538*'Os juros sobre juros'!$E$32</f>
        <v>39.519374039104022</v>
      </c>
      <c r="F538" s="179">
        <f t="shared" si="23"/>
        <v>49.217622904872698</v>
      </c>
      <c r="G538" s="179">
        <f>C538*'Os juros sobre juros'!$E$32</f>
        <v>88.73699694397672</v>
      </c>
      <c r="H538" s="179">
        <f t="shared" si="19"/>
        <v>243.15550497320353</v>
      </c>
      <c r="I538" s="179">
        <f t="shared" si="24"/>
        <v>2564.9773097096036</v>
      </c>
      <c r="K538" s="328">
        <f t="shared" si="25"/>
        <v>1250.6131025032917</v>
      </c>
      <c r="L538" s="328">
        <f>D538/POWER(1+'Os juros sobre juros'!$E$32,B538)</f>
        <v>143.28193481609534</v>
      </c>
      <c r="M538" s="328">
        <f t="shared" si="20"/>
        <v>1107.3311676871963</v>
      </c>
    </row>
    <row r="539" spans="2:13" s="43" customFormat="1" ht="15.95" customHeight="1" x14ac:dyDescent="0.25">
      <c r="B539" s="142">
        <f t="shared" si="21"/>
        <v>28</v>
      </c>
      <c r="C539" s="179">
        <f t="shared" si="22"/>
        <v>2564.9773097096036</v>
      </c>
      <c r="D539" s="179">
        <f>'Os juros sobre juros'!$E$46</f>
        <v>331.89250191718025</v>
      </c>
      <c r="E539" s="179">
        <f>K539*'Os juros sobre juros'!$E$32</f>
        <v>34.991664898915403</v>
      </c>
      <c r="F539" s="179">
        <f t="shared" si="23"/>
        <v>46.061618087908073</v>
      </c>
      <c r="G539" s="179">
        <f>C539*'Os juros sobre juros'!$E$32</f>
        <v>81.053282986823476</v>
      </c>
      <c r="H539" s="179">
        <f t="shared" si="19"/>
        <v>250.83921893035676</v>
      </c>
      <c r="I539" s="179">
        <f t="shared" si="24"/>
        <v>2314.1380907792468</v>
      </c>
      <c r="K539" s="328">
        <f t="shared" si="25"/>
        <v>1107.3311676871963</v>
      </c>
      <c r="L539" s="328">
        <f>D539/POWER(1+'Os juros sobre juros'!$E$32,B539)</f>
        <v>138.89291858869265</v>
      </c>
      <c r="M539" s="328">
        <f t="shared" si="20"/>
        <v>968.43824909850366</v>
      </c>
    </row>
    <row r="540" spans="2:13" s="43" customFormat="1" ht="15.95" customHeight="1" x14ac:dyDescent="0.25">
      <c r="B540" s="142">
        <f t="shared" si="21"/>
        <v>29</v>
      </c>
      <c r="C540" s="179">
        <f t="shared" si="22"/>
        <v>2314.1380907792468</v>
      </c>
      <c r="D540" s="179">
        <f>'Os juros sobre juros'!$E$46</f>
        <v>331.89250191718025</v>
      </c>
      <c r="E540" s="179">
        <f>K540*'Os juros sobre juros'!$E$32</f>
        <v>30.602648671512718</v>
      </c>
      <c r="F540" s="179">
        <f t="shared" si="23"/>
        <v>42.524114997111489</v>
      </c>
      <c r="G540" s="179">
        <f>C540*'Os juros sobre juros'!$E$32</f>
        <v>73.126763668624207</v>
      </c>
      <c r="H540" s="179">
        <f t="shared" si="19"/>
        <v>258.76573824855603</v>
      </c>
      <c r="I540" s="179">
        <f t="shared" si="24"/>
        <v>2055.3723525306909</v>
      </c>
      <c r="K540" s="328">
        <f t="shared" si="25"/>
        <v>968.43824909850366</v>
      </c>
      <c r="L540" s="328">
        <f>D540/POWER(1+'Os juros sobre juros'!$E$32,B540)</f>
        <v>134.63834682889942</v>
      </c>
      <c r="M540" s="328">
        <f t="shared" si="20"/>
        <v>833.79990226960422</v>
      </c>
    </row>
    <row r="541" spans="2:13" s="43" customFormat="1" ht="15.95" customHeight="1" x14ac:dyDescent="0.25">
      <c r="B541" s="142">
        <f t="shared" si="21"/>
        <v>30</v>
      </c>
      <c r="C541" s="179">
        <f t="shared" si="22"/>
        <v>2055.3723525306909</v>
      </c>
      <c r="D541" s="179">
        <f>'Os juros sobre juros'!$E$46</f>
        <v>331.89250191718025</v>
      </c>
      <c r="E541" s="179">
        <f>K541*'Os juros sobre juros'!$E$32</f>
        <v>26.348076911719495</v>
      </c>
      <c r="F541" s="179">
        <f t="shared" si="23"/>
        <v>38.601689428250346</v>
      </c>
      <c r="G541" s="179">
        <f>C541*'Os juros sobre juros'!$E$32</f>
        <v>64.949766339969841</v>
      </c>
      <c r="H541" s="179">
        <f t="shared" si="19"/>
        <v>266.94273557721044</v>
      </c>
      <c r="I541" s="179">
        <f t="shared" si="24"/>
        <v>1788.4296169534805</v>
      </c>
      <c r="K541" s="328">
        <f t="shared" si="25"/>
        <v>833.79990226960422</v>
      </c>
      <c r="L541" s="328">
        <f>D541/POWER(1+'Os juros sobre juros'!$E$32,B541)</f>
        <v>130.51410123003046</v>
      </c>
      <c r="M541" s="328">
        <f t="shared" si="20"/>
        <v>703.2858010395737</v>
      </c>
    </row>
    <row r="542" spans="2:13" s="43" customFormat="1" ht="15.95" customHeight="1" x14ac:dyDescent="0.25">
      <c r="B542" s="142">
        <f t="shared" si="21"/>
        <v>31</v>
      </c>
      <c r="C542" s="179">
        <f t="shared" si="22"/>
        <v>1788.4296169534805</v>
      </c>
      <c r="D542" s="179">
        <f>'Os juros sobre juros'!$E$46</f>
        <v>331.89250191718025</v>
      </c>
      <c r="E542" s="179">
        <f>K542*'Os juros sobre juros'!$E$32</f>
        <v>22.223831312850532</v>
      </c>
      <c r="F542" s="179">
        <f t="shared" si="23"/>
        <v>34.290544582879463</v>
      </c>
      <c r="G542" s="179">
        <f>C542*'Os juros sobre juros'!$E$32</f>
        <v>56.514375895729991</v>
      </c>
      <c r="H542" s="179">
        <f t="shared" si="19"/>
        <v>275.37812602145027</v>
      </c>
      <c r="I542" s="179">
        <f t="shared" si="24"/>
        <v>1513.0514909320302</v>
      </c>
      <c r="K542" s="328">
        <f t="shared" si="25"/>
        <v>703.2858010395737</v>
      </c>
      <c r="L542" s="328">
        <f>D542/POWER(1+'Os juros sobre juros'!$E$32,B542)</f>
        <v>126.51618963748589</v>
      </c>
      <c r="M542" s="328">
        <f t="shared" si="20"/>
        <v>576.76961140208778</v>
      </c>
    </row>
    <row r="543" spans="2:13" s="43" customFormat="1" ht="15.95" customHeight="1" x14ac:dyDescent="0.25">
      <c r="B543" s="142">
        <f t="shared" si="21"/>
        <v>32</v>
      </c>
      <c r="C543" s="179">
        <f t="shared" si="22"/>
        <v>1513.0514909320302</v>
      </c>
      <c r="D543" s="179">
        <f>'Os juros sobre juros'!$E$46</f>
        <v>331.89250191718025</v>
      </c>
      <c r="E543" s="179">
        <f>K543*'Os juros sobre juros'!$E$32</f>
        <v>18.225919720305974</v>
      </c>
      <c r="F543" s="179">
        <f t="shared" si="23"/>
        <v>29.586507393146185</v>
      </c>
      <c r="G543" s="179">
        <f>C543*'Os juros sobre juros'!$E$32</f>
        <v>47.812427113452159</v>
      </c>
      <c r="H543" s="179">
        <f t="shared" si="19"/>
        <v>284.08007480372811</v>
      </c>
      <c r="I543" s="179">
        <f t="shared" si="24"/>
        <v>1228.9714161283021</v>
      </c>
      <c r="K543" s="328">
        <f t="shared" si="25"/>
        <v>576.76961140208778</v>
      </c>
      <c r="L543" s="328">
        <f>D543/POWER(1+'Os juros sobre juros'!$E$32,B543)</f>
        <v>122.64074218445705</v>
      </c>
      <c r="M543" s="328">
        <f t="shared" si="20"/>
        <v>454.12886921763072</v>
      </c>
    </row>
    <row r="544" spans="2:13" s="43" customFormat="1" ht="15.95" customHeight="1" x14ac:dyDescent="0.25">
      <c r="B544" s="142">
        <f t="shared" si="21"/>
        <v>33</v>
      </c>
      <c r="C544" s="179">
        <f t="shared" si="22"/>
        <v>1228.9714161283021</v>
      </c>
      <c r="D544" s="179">
        <f>'Os juros sobre juros'!$E$46</f>
        <v>331.89250191718025</v>
      </c>
      <c r="E544" s="179">
        <f>K544*'Os juros sobre juros'!$E$32</f>
        <v>14.350472267277132</v>
      </c>
      <c r="F544" s="179">
        <f t="shared" si="23"/>
        <v>24.485024482377213</v>
      </c>
      <c r="G544" s="179">
        <f>C544*'Os juros sobre juros'!$E$32</f>
        <v>38.835496749654347</v>
      </c>
      <c r="H544" s="179">
        <f t="shared" si="19"/>
        <v>293.05700516752592</v>
      </c>
      <c r="I544" s="179">
        <f t="shared" si="24"/>
        <v>935.91441096077619</v>
      </c>
      <c r="K544" s="328">
        <f t="shared" si="25"/>
        <v>454.12886921763072</v>
      </c>
      <c r="L544" s="328">
        <f>D544/POWER(1+'Os juros sobre juros'!$E$32,B544)</f>
        <v>118.88400754600333</v>
      </c>
      <c r="M544" s="328">
        <f t="shared" si="20"/>
        <v>335.2448616716274</v>
      </c>
    </row>
    <row r="545" spans="2:13" s="43" customFormat="1" ht="15.95" customHeight="1" x14ac:dyDescent="0.25">
      <c r="B545" s="142">
        <f t="shared" si="21"/>
        <v>34</v>
      </c>
      <c r="C545" s="179">
        <f t="shared" si="22"/>
        <v>935.91441096077619</v>
      </c>
      <c r="D545" s="320">
        <f>'Os juros sobre juros'!$E$46</f>
        <v>331.89250191718025</v>
      </c>
      <c r="E545" s="179">
        <f>K545*'Os juros sobre juros'!$E$32</f>
        <v>10.593737628823426</v>
      </c>
      <c r="F545" s="179">
        <f t="shared" si="23"/>
        <v>18.981157757537105</v>
      </c>
      <c r="G545" s="179">
        <f>C545*'Os juros sobre juros'!$E$32</f>
        <v>29.574895386360531</v>
      </c>
      <c r="H545" s="179">
        <f t="shared" si="19"/>
        <v>302.31760653081972</v>
      </c>
      <c r="I545" s="179">
        <f t="shared" si="24"/>
        <v>633.59680442995648</v>
      </c>
      <c r="K545" s="328">
        <f t="shared" si="25"/>
        <v>335.2448616716274</v>
      </c>
      <c r="L545" s="328">
        <f>D545/POWER(1+'Os juros sobre juros'!$E$32,B545)</f>
        <v>115.24234930787449</v>
      </c>
      <c r="M545" s="328">
        <f t="shared" si="20"/>
        <v>220.00251236375291</v>
      </c>
    </row>
    <row r="546" spans="2:13" s="43" customFormat="1" ht="15.95" customHeight="1" x14ac:dyDescent="0.25">
      <c r="B546" s="142">
        <f t="shared" si="21"/>
        <v>35</v>
      </c>
      <c r="C546" s="179">
        <f t="shared" si="22"/>
        <v>633.59680442995648</v>
      </c>
      <c r="D546" s="179">
        <f>'Os juros sobre juros'!$E$46</f>
        <v>331.89250191718025</v>
      </c>
      <c r="E546" s="179">
        <f>K546*'Os juros sobre juros'!$E$32</f>
        <v>6.9520793906945926</v>
      </c>
      <c r="F546" s="179">
        <f t="shared" si="23"/>
        <v>13.069579629292033</v>
      </c>
      <c r="G546" s="179">
        <f>C546*'Os juros sobre juros'!$E$32</f>
        <v>20.021659019986625</v>
      </c>
      <c r="H546" s="179">
        <f t="shared" si="19"/>
        <v>311.87084289719365</v>
      </c>
      <c r="I546" s="179">
        <f t="shared" si="24"/>
        <v>321.72596153276282</v>
      </c>
      <c r="K546" s="328">
        <f t="shared" si="25"/>
        <v>220.00251236375291</v>
      </c>
      <c r="L546" s="328">
        <f>D546/POWER(1+'Os juros sobre juros'!$E$32,B546)</f>
        <v>111.71224244656308</v>
      </c>
      <c r="M546" s="328">
        <f t="shared" si="20"/>
        <v>108.29026991718983</v>
      </c>
    </row>
    <row r="547" spans="2:13" s="95" customFormat="1" ht="15.95" customHeight="1" x14ac:dyDescent="0.25">
      <c r="B547" s="291">
        <f t="shared" si="21"/>
        <v>36</v>
      </c>
      <c r="C547" s="296">
        <f t="shared" si="22"/>
        <v>321.72596153276282</v>
      </c>
      <c r="D547" s="296">
        <f>'Os juros sobre juros'!$E$46</f>
        <v>331.89250191718025</v>
      </c>
      <c r="E547" s="296">
        <f>K547*'Os juros sobre juros'!$E$32</f>
        <v>3.4219725293831988</v>
      </c>
      <c r="F547" s="296">
        <f t="shared" si="23"/>
        <v>6.7445678550521073</v>
      </c>
      <c r="G547" s="296">
        <f>C547*'Os juros sobre juros'!$E$32</f>
        <v>10.166540384435306</v>
      </c>
      <c r="H547" s="296">
        <f t="shared" si="19"/>
        <v>321.72596153274498</v>
      </c>
      <c r="I547" s="296">
        <f t="shared" si="24"/>
        <v>1.7848833522293717E-11</v>
      </c>
      <c r="K547" s="329">
        <f t="shared" si="25"/>
        <v>108.29026991718983</v>
      </c>
      <c r="L547" s="329">
        <f>D547/POWER(1+'Os juros sobre juros'!$E$32,B547)</f>
        <v>108.29026991718021</v>
      </c>
      <c r="M547" s="329">
        <f t="shared" si="20"/>
        <v>9.6207486421917565E-12</v>
      </c>
    </row>
    <row r="548" spans="2:13" s="95" customFormat="1" ht="15.95" customHeight="1" x14ac:dyDescent="0.25">
      <c r="B548" s="292"/>
      <c r="C548" s="293" t="s">
        <v>123</v>
      </c>
      <c r="D548" s="297">
        <f ca="1">SUM(D512:INDIRECT(ADDRESS(ROW($D$548)-1,4)))</f>
        <v>11948.130069018489</v>
      </c>
      <c r="E548" s="297">
        <f ca="1">SUM(E512:INDIRECT(ADDRESS(ROW($E$548)-1,5)))</f>
        <v>3401.1725149815093</v>
      </c>
      <c r="F548" s="297">
        <f ca="1">SUM(F512:INDIRECT(ADDRESS(ROW($F$548)-1,6)))</f>
        <v>1470.9375540369963</v>
      </c>
      <c r="G548" s="297">
        <f ca="1">SUM(G512:INDIRECT(ADDRESS(ROW($G$548)-1,7)))</f>
        <v>4872.1100690185067</v>
      </c>
      <c r="H548" s="297">
        <f ca="1">SUM(H512:INDIRECT(ADDRESS(ROW($H$548)-1,8)))</f>
        <v>7076.0199999999822</v>
      </c>
      <c r="I548" s="321"/>
    </row>
    <row r="549" spans="2:13" s="43" customFormat="1" ht="15.95" customHeight="1" x14ac:dyDescent="0.25">
      <c r="B549" s="47"/>
      <c r="C549" s="166"/>
      <c r="D549" s="636" t="str">
        <f ca="1">IF(OR(($D$548-$C$563)&gt;0.01,($D$548-$C$563)&lt;-0.01,($E$548-$D$563)&gt;0.01,($E$548-$D$563)&lt;-0.01,($F$548-$E$563)&gt;0.01,($F$548-$E$563)&lt;-0.01,($G$548-$F$563)&gt;0.01,($G$548-$F$563)&lt;-0.01,($H$548-$G$563)&gt;0.01,($H$548-$G$563)&lt;-0.01),"FALTA ATUALIZAR A TABELA 20","")</f>
        <v/>
      </c>
      <c r="E549" s="637"/>
      <c r="F549" s="637"/>
      <c r="G549" s="637"/>
      <c r="H549" s="638"/>
    </row>
    <row r="550" spans="2:13" s="43" customFormat="1" ht="20.100000000000001" customHeight="1" x14ac:dyDescent="0.25">
      <c r="B550" s="47"/>
      <c r="C550" s="166"/>
      <c r="D550" s="606" t="s">
        <v>124</v>
      </c>
      <c r="E550" s="606"/>
      <c r="F550" s="606"/>
      <c r="G550" s="606"/>
      <c r="H550" s="606"/>
    </row>
    <row r="551" spans="2:13" s="43" customFormat="1" ht="20.100000000000001" customHeight="1" x14ac:dyDescent="0.25">
      <c r="B551" s="47"/>
      <c r="C551" s="166"/>
      <c r="D551" s="480" t="s">
        <v>18</v>
      </c>
      <c r="E551" s="578" t="s">
        <v>21</v>
      </c>
      <c r="F551" s="612"/>
      <c r="G551" s="579"/>
      <c r="H551" s="480" t="s">
        <v>24</v>
      </c>
    </row>
    <row r="552" spans="2:13" s="43" customFormat="1" ht="20.100000000000001" customHeight="1" x14ac:dyDescent="0.25">
      <c r="B552" s="47"/>
      <c r="C552" s="166"/>
      <c r="D552" s="481"/>
      <c r="E552" s="281" t="s">
        <v>25</v>
      </c>
      <c r="F552" s="281" t="s">
        <v>26</v>
      </c>
      <c r="G552" s="281" t="s">
        <v>299</v>
      </c>
      <c r="H552" s="481"/>
    </row>
    <row r="553" spans="2:13" s="43" customFormat="1" ht="15.95" customHeight="1" x14ac:dyDescent="0.25">
      <c r="B553" s="47"/>
      <c r="C553" s="166"/>
      <c r="D553" s="290">
        <f ca="1">D548</f>
        <v>11948.130069018489</v>
      </c>
      <c r="E553" s="290">
        <f ca="1">E548</f>
        <v>3401.1725149815093</v>
      </c>
      <c r="F553" s="290">
        <f ca="1">F548</f>
        <v>1470.9375540369963</v>
      </c>
      <c r="G553" s="290">
        <f t="shared" ref="G553:H553" ca="1" si="26">G548</f>
        <v>4872.1100690185067</v>
      </c>
      <c r="H553" s="290">
        <f t="shared" ca="1" si="26"/>
        <v>7076.0199999999822</v>
      </c>
    </row>
    <row r="554" spans="2:13" s="43" customFormat="1" ht="15.95" customHeight="1" thickBot="1" x14ac:dyDescent="0.3">
      <c r="B554" s="47"/>
      <c r="C554" s="166"/>
      <c r="D554" s="298"/>
      <c r="E554" s="298"/>
      <c r="F554" s="298"/>
      <c r="G554" s="166"/>
    </row>
    <row r="555" spans="2:13" s="43" customFormat="1" ht="24.95" customHeight="1" x14ac:dyDescent="0.25">
      <c r="C555" s="299" t="s">
        <v>138</v>
      </c>
      <c r="D555" s="300"/>
      <c r="E555" s="300"/>
      <c r="F555" s="300"/>
      <c r="G555" s="300"/>
      <c r="H555" s="322"/>
      <c r="I555" s="301"/>
      <c r="J555" s="301"/>
      <c r="K555" s="302"/>
    </row>
    <row r="556" spans="2:13" s="43" customFormat="1" ht="15.95" customHeight="1" x14ac:dyDescent="0.25">
      <c r="C556" s="303" t="s">
        <v>194</v>
      </c>
      <c r="D556" s="67"/>
      <c r="E556" s="67"/>
      <c r="F556" s="67"/>
      <c r="G556" s="67"/>
      <c r="H556" s="46"/>
      <c r="I556" s="47" t="s">
        <v>139</v>
      </c>
      <c r="J556" s="47"/>
      <c r="K556" s="64"/>
    </row>
    <row r="557" spans="2:13" s="43" customFormat="1" ht="15.95" customHeight="1" x14ac:dyDescent="0.25">
      <c r="C557" s="303" t="s">
        <v>332</v>
      </c>
      <c r="D557" s="67"/>
      <c r="E557" s="67"/>
      <c r="F557" s="67"/>
      <c r="G557" s="67"/>
      <c r="H557" s="46"/>
      <c r="I557" s="47"/>
      <c r="J557" s="47"/>
      <c r="K557" s="64"/>
    </row>
    <row r="558" spans="2:13" s="43" customFormat="1" ht="15.95" customHeight="1" x14ac:dyDescent="0.25">
      <c r="C558" s="303" t="s">
        <v>333</v>
      </c>
      <c r="D558" s="67"/>
      <c r="E558" s="67"/>
      <c r="F558" s="67"/>
      <c r="G558" s="67"/>
      <c r="H558" s="46"/>
      <c r="I558" s="47"/>
      <c r="J558" s="47"/>
      <c r="K558" s="64"/>
    </row>
    <row r="559" spans="2:13" s="43" customFormat="1" ht="15.95" customHeight="1" x14ac:dyDescent="0.25">
      <c r="C559" s="303"/>
      <c r="D559" s="67"/>
      <c r="E559" s="67"/>
      <c r="F559" s="67"/>
      <c r="G559" s="67"/>
      <c r="H559" s="46"/>
      <c r="I559" s="47"/>
      <c r="J559" s="47"/>
      <c r="K559" s="64"/>
    </row>
    <row r="560" spans="2:13" s="43" customFormat="1" ht="24.95" customHeight="1" x14ac:dyDescent="0.25">
      <c r="C560" s="392" t="s">
        <v>285</v>
      </c>
      <c r="D560" s="67"/>
      <c r="E560" s="67"/>
      <c r="F560" s="67"/>
      <c r="G560" s="67"/>
      <c r="H560" s="46"/>
      <c r="I560" s="47"/>
      <c r="J560" s="47"/>
      <c r="K560" s="64"/>
    </row>
    <row r="561" spans="1:11" ht="20.100000000000001" customHeight="1" x14ac:dyDescent="0.25">
      <c r="C561" s="677" t="s">
        <v>18</v>
      </c>
      <c r="D561" s="679" t="s">
        <v>299</v>
      </c>
      <c r="E561" s="679"/>
      <c r="F561" s="679"/>
      <c r="G561" s="678" t="s">
        <v>24</v>
      </c>
      <c r="H561" s="2"/>
      <c r="I561" s="2"/>
      <c r="J561" s="2"/>
      <c r="K561" s="63"/>
    </row>
    <row r="562" spans="1:11" ht="20.100000000000001" customHeight="1" x14ac:dyDescent="0.25">
      <c r="C562" s="677"/>
      <c r="D562" s="69" t="s">
        <v>25</v>
      </c>
      <c r="E562" s="69" t="s">
        <v>26</v>
      </c>
      <c r="F562" s="69" t="s">
        <v>99</v>
      </c>
      <c r="G562" s="678"/>
      <c r="H562" s="2"/>
      <c r="I562" s="2"/>
      <c r="J562" s="2"/>
      <c r="K562" s="63"/>
    </row>
    <row r="563" spans="1:11" s="43" customFormat="1" ht="15.95" customHeight="1" thickBot="1" x14ac:dyDescent="0.3">
      <c r="C563" s="304">
        <f>'Os juros sobre juros'!$C$520</f>
        <v>11948.130069018489</v>
      </c>
      <c r="D563" s="305">
        <f ca="1">'Os juros sobre juros'!$E$520</f>
        <v>3401.1725149814979</v>
      </c>
      <c r="E563" s="305">
        <f ca="1">'Os juros sobre juros'!$F$520</f>
        <v>1470.9375540370008</v>
      </c>
      <c r="F563" s="305">
        <f ca="1">'Os juros sobre juros'!$G$520</f>
        <v>4872.1100690184994</v>
      </c>
      <c r="G563" s="305">
        <f>'Os juros sobre juros'!$D$520</f>
        <v>7076.02</v>
      </c>
      <c r="H563" s="287"/>
      <c r="I563" s="287"/>
      <c r="J563" s="287"/>
      <c r="K563" s="306"/>
    </row>
    <row r="564" spans="1:11" s="43" customFormat="1" ht="15.95" customHeight="1" x14ac:dyDescent="0.25"/>
    <row r="565" spans="1:11" s="43" customFormat="1" ht="15.95" customHeight="1" x14ac:dyDescent="0.25">
      <c r="B565" s="384" t="s">
        <v>891</v>
      </c>
    </row>
    <row r="566" spans="1:11" s="43" customFormat="1" ht="15.95" customHeight="1" x14ac:dyDescent="0.25">
      <c r="B566" s="43" t="s">
        <v>895</v>
      </c>
    </row>
    <row r="567" spans="1:11" s="43" customFormat="1" ht="15.95" customHeight="1" x14ac:dyDescent="0.25">
      <c r="B567" s="43" t="s">
        <v>426</v>
      </c>
    </row>
    <row r="568" spans="1:11" s="43" customFormat="1" ht="15.95" customHeight="1" x14ac:dyDescent="0.25">
      <c r="B568" s="43" t="s">
        <v>889</v>
      </c>
    </row>
    <row r="569" spans="1:11" s="43" customFormat="1" ht="15.95" customHeight="1" x14ac:dyDescent="0.25">
      <c r="B569" s="43" t="s">
        <v>907</v>
      </c>
    </row>
    <row r="570" spans="1:11" s="43" customFormat="1" ht="15.95" customHeight="1" x14ac:dyDescent="0.25">
      <c r="B570" s="43" t="s">
        <v>522</v>
      </c>
    </row>
    <row r="571" spans="1:11" s="43" customFormat="1" ht="15.95" customHeight="1" x14ac:dyDescent="0.25">
      <c r="B571" s="43" t="s">
        <v>908</v>
      </c>
    </row>
    <row r="572" spans="1:11" s="43" customFormat="1" ht="15.95" customHeight="1" x14ac:dyDescent="0.25">
      <c r="B572" s="43" t="s">
        <v>430</v>
      </c>
    </row>
    <row r="573" spans="1:11" s="43" customFormat="1" ht="15.95" customHeight="1" x14ac:dyDescent="0.25">
      <c r="B573" s="43" t="s">
        <v>909</v>
      </c>
    </row>
    <row r="574" spans="1:11" s="43" customFormat="1" ht="15.95" customHeight="1" x14ac:dyDescent="0.25">
      <c r="H574" s="158"/>
      <c r="I574" s="48"/>
    </row>
    <row r="575" spans="1:11" s="43" customFormat="1" ht="24.95" customHeight="1" x14ac:dyDescent="0.25">
      <c r="A575" s="378" t="s">
        <v>859</v>
      </c>
    </row>
    <row r="576" spans="1:11" s="43" customFormat="1" ht="15.95" customHeight="1" x14ac:dyDescent="0.25">
      <c r="B576" s="43" t="s">
        <v>832</v>
      </c>
    </row>
    <row r="577" spans="2:2" s="43" customFormat="1" ht="15.95" customHeight="1" x14ac:dyDescent="0.25">
      <c r="B577" s="43" t="s">
        <v>833</v>
      </c>
    </row>
    <row r="578" spans="2:2" s="43" customFormat="1" ht="15.95" customHeight="1" x14ac:dyDescent="0.25">
      <c r="B578" s="43" t="s">
        <v>831</v>
      </c>
    </row>
    <row r="579" spans="2:2" s="43" customFormat="1" ht="15.95" customHeight="1" x14ac:dyDescent="0.25">
      <c r="B579" s="43" t="s">
        <v>834</v>
      </c>
    </row>
    <row r="580" spans="2:2" s="43" customFormat="1" ht="15.95" customHeight="1" x14ac:dyDescent="0.25">
      <c r="B580" s="43" t="s">
        <v>835</v>
      </c>
    </row>
    <row r="581" spans="2:2" s="43" customFormat="1" ht="15.95" customHeight="1" x14ac:dyDescent="0.25"/>
    <row r="582" spans="2:2" s="43" customFormat="1" ht="15.95" customHeight="1" x14ac:dyDescent="0.25">
      <c r="B582" s="43" t="s">
        <v>836</v>
      </c>
    </row>
    <row r="583" spans="2:2" s="43" customFormat="1" ht="15.95" customHeight="1" x14ac:dyDescent="0.25">
      <c r="B583" s="43" t="s">
        <v>911</v>
      </c>
    </row>
    <row r="584" spans="2:2" s="43" customFormat="1" ht="15.95" customHeight="1" x14ac:dyDescent="0.25">
      <c r="B584" s="43" t="s">
        <v>837</v>
      </c>
    </row>
    <row r="585" spans="2:2" s="43" customFormat="1" ht="15.95" customHeight="1" x14ac:dyDescent="0.25">
      <c r="B585" s="43" t="s">
        <v>838</v>
      </c>
    </row>
    <row r="586" spans="2:2" s="43" customFormat="1" ht="15.95" customHeight="1" x14ac:dyDescent="0.25">
      <c r="B586" s="43" t="s">
        <v>839</v>
      </c>
    </row>
    <row r="587" spans="2:2" s="43" customFormat="1" ht="15.95" customHeight="1" x14ac:dyDescent="0.25"/>
    <row r="588" spans="2:2" s="43" customFormat="1" ht="20.100000000000001" customHeight="1" x14ac:dyDescent="0.25">
      <c r="B588" s="384" t="s">
        <v>849</v>
      </c>
    </row>
    <row r="589" spans="2:2" s="43" customFormat="1" ht="15.95" customHeight="1" x14ac:dyDescent="0.25">
      <c r="B589" s="43" t="s">
        <v>850</v>
      </c>
    </row>
    <row r="590" spans="2:2" s="43" customFormat="1" ht="15.95" customHeight="1" x14ac:dyDescent="0.25">
      <c r="B590" s="43" t="s">
        <v>851</v>
      </c>
    </row>
    <row r="591" spans="2:2" s="43" customFormat="1" ht="15.95" customHeight="1" x14ac:dyDescent="0.25">
      <c r="B591" s="43" t="s">
        <v>912</v>
      </c>
    </row>
    <row r="592" spans="2:2" s="43" customFormat="1" ht="15.95" customHeight="1" x14ac:dyDescent="0.25">
      <c r="B592" s="43" t="s">
        <v>852</v>
      </c>
    </row>
    <row r="593" spans="2:13" s="43" customFormat="1" ht="15.95" customHeight="1" x14ac:dyDescent="0.25">
      <c r="B593" s="43" t="s">
        <v>913</v>
      </c>
    </row>
    <row r="594" spans="2:13" s="43" customFormat="1" ht="15.95" customHeight="1" x14ac:dyDescent="0.25">
      <c r="B594" s="43" t="str">
        <f ca="1">CONCATENATE("   Na prestação ",$B$470," o mutuário paga juros (compostos) sobre ",$B$470," meses.")</f>
        <v xml:space="preserve">   Na prestação 36 o mutuário paga juros (compostos) sobre 36 meses.</v>
      </c>
    </row>
    <row r="595" spans="2:13" s="43" customFormat="1" ht="15.95" customHeight="1" x14ac:dyDescent="0.25">
      <c r="B595" s="43" t="s">
        <v>853</v>
      </c>
    </row>
    <row r="596" spans="2:13" s="43" customFormat="1" ht="15.95" customHeight="1" x14ac:dyDescent="0.25">
      <c r="B596" s="43" t="s">
        <v>854</v>
      </c>
    </row>
    <row r="597" spans="2:13" s="43" customFormat="1" ht="15.95" customHeight="1" x14ac:dyDescent="0.25">
      <c r="B597" s="43" t="s">
        <v>855</v>
      </c>
    </row>
    <row r="598" spans="2:13" s="43" customFormat="1" ht="15.95" customHeight="1" x14ac:dyDescent="0.25"/>
    <row r="599" spans="2:13" s="43" customFormat="1" ht="24.95" customHeight="1" x14ac:dyDescent="0.25">
      <c r="B599" s="390" t="s">
        <v>521</v>
      </c>
      <c r="K599"/>
      <c r="L599"/>
      <c r="M599"/>
    </row>
    <row r="600" spans="2:13" s="43" customFormat="1" ht="15.95" customHeight="1" x14ac:dyDescent="0.25">
      <c r="B600" s="376" t="s">
        <v>239</v>
      </c>
      <c r="K600"/>
      <c r="L600"/>
      <c r="M600"/>
    </row>
    <row r="601" spans="2:13" s="43" customFormat="1" ht="20.100000000000001" customHeight="1" x14ac:dyDescent="0.25">
      <c r="B601" s="480" t="s">
        <v>64</v>
      </c>
      <c r="C601" s="480" t="s">
        <v>121</v>
      </c>
      <c r="D601" s="480" t="s">
        <v>17</v>
      </c>
      <c r="E601" s="482" t="s">
        <v>21</v>
      </c>
      <c r="F601" s="483"/>
      <c r="G601" s="484"/>
      <c r="H601" s="480" t="s">
        <v>90</v>
      </c>
      <c r="I601" s="480" t="s">
        <v>122</v>
      </c>
    </row>
    <row r="602" spans="2:13" s="43" customFormat="1" ht="20.100000000000001" customHeight="1" x14ac:dyDescent="0.25">
      <c r="B602" s="481"/>
      <c r="C602" s="481"/>
      <c r="D602" s="481"/>
      <c r="E602" s="415" t="s">
        <v>25</v>
      </c>
      <c r="F602" s="415" t="s">
        <v>26</v>
      </c>
      <c r="G602" s="415" t="s">
        <v>99</v>
      </c>
      <c r="H602" s="481"/>
      <c r="I602" s="481"/>
    </row>
    <row r="603" spans="2:13" s="43" customFormat="1" ht="15.95" customHeight="1" x14ac:dyDescent="0.25">
      <c r="B603" s="142">
        <f>'Evolução saldo devedor'!$B$392</f>
        <v>1</v>
      </c>
      <c r="C603" s="179">
        <f>'Evolução saldo devedor'!$C$392</f>
        <v>7076.02</v>
      </c>
      <c r="D603" s="179">
        <f>'Evolução saldo devedor'!$D$392</f>
        <v>331.89250191718025</v>
      </c>
      <c r="E603" s="179">
        <f>'Evolução saldo devedor'!$E$392</f>
        <v>10.166540384434759</v>
      </c>
      <c r="F603" s="179">
        <f>'Evolução saldo devedor'!$F$392</f>
        <v>0</v>
      </c>
      <c r="G603" s="179">
        <f>'Evolução saldo devedor'!$G$392</f>
        <v>10.166540384434768</v>
      </c>
      <c r="H603" s="179">
        <f>'Evolução saldo devedor'!$H$392</f>
        <v>321.72596153274549</v>
      </c>
      <c r="I603" s="179">
        <f>'Evolução saldo devedor'!$I$392</f>
        <v>6754.2940384672547</v>
      </c>
    </row>
    <row r="604" spans="2:13" s="43" customFormat="1" ht="15.95" customHeight="1" x14ac:dyDescent="0.25">
      <c r="B604" s="142">
        <f>'Evolução saldo devedor'!$B$393</f>
        <v>2</v>
      </c>
      <c r="C604" s="179">
        <f>'Evolução saldo devedor'!$C$393</f>
        <v>6754.2940384672547</v>
      </c>
      <c r="D604" s="179">
        <f>'Evolução saldo devedor'!$D$393</f>
        <v>331.89250191718025</v>
      </c>
      <c r="E604" s="179">
        <f>'Evolução saldo devedor'!$E$393</f>
        <v>19.71023727110267</v>
      </c>
      <c r="F604" s="179">
        <f>'Evolução saldo devedor'!$F$393</f>
        <v>0.3114217488834754</v>
      </c>
      <c r="G604" s="179">
        <f>'Evolução saldo devedor'!$G$393</f>
        <v>20.021659019986146</v>
      </c>
      <c r="H604" s="179">
        <f>'Evolução saldo devedor'!$H$393</f>
        <v>311.87084289719411</v>
      </c>
      <c r="I604" s="179">
        <f>'Evolução saldo devedor'!$I$393</f>
        <v>6442.4231955700607</v>
      </c>
    </row>
    <row r="605" spans="2:13" s="43" customFormat="1" ht="15.95" customHeight="1" x14ac:dyDescent="0.25">
      <c r="B605" s="142">
        <f>'Evolução saldo devedor'!$B$394</f>
        <v>3</v>
      </c>
      <c r="C605" s="179">
        <f>'Evolução saldo devedor'!$C$394</f>
        <v>6442.4231955700607</v>
      </c>
      <c r="D605" s="179">
        <f>'Evolução saldo devedor'!$D$394</f>
        <v>331.89250191718025</v>
      </c>
      <c r="E605" s="179">
        <f>'Evolução saldo devedor'!$E$394</f>
        <v>28.659709099121756</v>
      </c>
      <c r="F605" s="179">
        <f>'Evolução saldo devedor'!$F$394</f>
        <v>0.91518628723832762</v>
      </c>
      <c r="G605" s="179">
        <f>'Evolução saldo devedor'!$G$394</f>
        <v>29.574895386360083</v>
      </c>
      <c r="H605" s="179">
        <f>'Evolução saldo devedor'!$H$394</f>
        <v>302.31760653082017</v>
      </c>
      <c r="I605" s="179">
        <f>'Evolução saldo devedor'!$I$394</f>
        <v>6140.1055890392408</v>
      </c>
    </row>
    <row r="606" spans="2:13" s="43" customFormat="1" ht="15.95" customHeight="1" x14ac:dyDescent="0.25">
      <c r="B606" s="137" t="s">
        <v>307</v>
      </c>
      <c r="C606" s="137" t="s">
        <v>307</v>
      </c>
      <c r="D606" s="137" t="s">
        <v>307</v>
      </c>
      <c r="E606" s="137" t="s">
        <v>307</v>
      </c>
      <c r="F606" s="137" t="s">
        <v>307</v>
      </c>
      <c r="G606" s="137" t="s">
        <v>307</v>
      </c>
      <c r="H606" s="137" t="s">
        <v>307</v>
      </c>
      <c r="I606" s="137" t="s">
        <v>307</v>
      </c>
    </row>
    <row r="607" spans="2:13" s="95" customFormat="1" ht="15.95" customHeight="1" x14ac:dyDescent="0.25">
      <c r="B607" s="137">
        <f ca="1">INDIRECT(ADDRESS((ROW('Evolução saldo devedor'!$B$428)-1),2,,,"Evolução saldo devedor"))</f>
        <v>36</v>
      </c>
      <c r="C607" s="179">
        <f ca="1">INDIRECT(ADDRESS((ROW('Evolução saldo devedor'!$C$428)-1),3,,,"Evolução saldo devedor"))</f>
        <v>108.29026991718983</v>
      </c>
      <c r="D607" s="179">
        <f ca="1">INDIRECT(ADDRESS((ROW('Evolução saldo devedor'!$D$428)-1),4,,,"Evolução saldo devedor"))</f>
        <v>331.89250191718025</v>
      </c>
      <c r="E607" s="179">
        <f ca="1">INDIRECT(ADDRESS((ROW('Evolução saldo devedor'!$E$428)-1),5,,,"Evolução saldo devedor"))</f>
        <v>123.19101105778422</v>
      </c>
      <c r="F607" s="179">
        <f ca="1">INDIRECT(ADDRESS((ROW('Evolução saldo devedor'!$F$428)-1),6,,,"Evolução saldo devedor"))</f>
        <v>100.41122094221582</v>
      </c>
      <c r="G607" s="179">
        <f ca="1">INDIRECT(ADDRESS((ROW('Evolução saldo devedor'!$G$428)-1),7,,,"Evolução saldo devedor"))</f>
        <v>223.60223200000004</v>
      </c>
      <c r="H607" s="179">
        <f ca="1">INDIRECT(ADDRESS((ROW('Evolução saldo devedor'!$H$428)-1),8,,,"Evolução saldo devedor"))</f>
        <v>108.29026991718021</v>
      </c>
      <c r="I607" s="179">
        <f ca="1">INDIRECT(ADDRESS((ROW('Evolução saldo devedor'!$I$428)-1),9,,,"Evolução saldo devedor"))</f>
        <v>9.6207486421917565E-12</v>
      </c>
    </row>
    <row r="608" spans="2:13" s="95" customFormat="1" ht="15.95" customHeight="1" x14ac:dyDescent="0.25">
      <c r="B608" s="292"/>
      <c r="C608" s="293" t="s">
        <v>123</v>
      </c>
      <c r="D608" s="154">
        <f ca="1">'Evolução saldo devedor'!$D$428</f>
        <v>11948.130069018489</v>
      </c>
      <c r="E608" s="154">
        <f ca="1">'Evolução saldo devedor'!$E$428</f>
        <v>3401.1725149814979</v>
      </c>
      <c r="F608" s="154">
        <f ca="1">'Evolução saldo devedor'!$F$428</f>
        <v>1470.9375540370008</v>
      </c>
      <c r="G608" s="154">
        <f ca="1">'Evolução saldo devedor'!$G$428</f>
        <v>4872.1100690184994</v>
      </c>
      <c r="H608" s="154">
        <f ca="1">'Evolução saldo devedor'!$H$428</f>
        <v>7076.0199999999886</v>
      </c>
      <c r="I608" s="321"/>
      <c r="K608" s="43"/>
      <c r="L608" s="43"/>
      <c r="M608" s="43"/>
    </row>
    <row r="609" spans="2:13" s="43" customFormat="1" ht="15.95" customHeight="1" x14ac:dyDescent="0.25"/>
    <row r="610" spans="2:13" s="43" customFormat="1" ht="20.100000000000001" customHeight="1" x14ac:dyDescent="0.25">
      <c r="B610" s="384" t="s">
        <v>840</v>
      </c>
    </row>
    <row r="611" spans="2:13" s="43" customFormat="1" ht="15.95" customHeight="1" x14ac:dyDescent="0.25">
      <c r="B611" s="43" t="s">
        <v>841</v>
      </c>
    </row>
    <row r="612" spans="2:13" s="43" customFormat="1" ht="15.95" customHeight="1" x14ac:dyDescent="0.25">
      <c r="B612" s="43" t="str">
        <f ca="1">CONCATENATE("   a receita incorrida no primeiro mês por todas as prestações ativas (a 1 até a ",$B$470,"), independente de ter havido ou não pagamento destas receitas.")</f>
        <v xml:space="preserve">   a receita incorrida no primeiro mês por todas as prestações ativas (a 1 até a 36), independente de ter havido ou não pagamento destas receitas.</v>
      </c>
    </row>
    <row r="613" spans="2:13" s="43" customFormat="1" ht="15.95" customHeight="1" x14ac:dyDescent="0.25">
      <c r="B613" s="43" t="str">
        <f ca="1">CONCATENATE("• No segundo mês apropria a receita incorrida por todas as prestações ativas, que são a 2 até a ",$B$470,", excluindo a 1, que já foi paga no mês anterior.")</f>
        <v>• No segundo mês apropria a receita incorrida por todas as prestações ativas, que são a 2 até a 36, excluindo a 1, que já foi paga no mês anterior.</v>
      </c>
    </row>
    <row r="614" spans="2:13" s="43" customFormat="1" ht="15.95" customHeight="1" x14ac:dyDescent="0.25">
      <c r="B614" s="43" t="s">
        <v>842</v>
      </c>
    </row>
    <row r="615" spans="2:13" s="43" customFormat="1" ht="15.95" customHeight="1" x14ac:dyDescent="0.25"/>
    <row r="616" spans="2:13" s="43" customFormat="1" ht="15.95" customHeight="1" x14ac:dyDescent="0.25">
      <c r="B616" s="43" t="s">
        <v>843</v>
      </c>
    </row>
    <row r="617" spans="2:13" s="43" customFormat="1" ht="15.95" customHeight="1" x14ac:dyDescent="0.25">
      <c r="B617" s="43" t="s">
        <v>844</v>
      </c>
    </row>
    <row r="618" spans="2:13" s="43" customFormat="1" ht="15.95" customHeight="1" x14ac:dyDescent="0.25">
      <c r="B618" s="43" t="s">
        <v>845</v>
      </c>
    </row>
    <row r="619" spans="2:13" s="43" customFormat="1" ht="15.95" customHeight="1" x14ac:dyDescent="0.25">
      <c r="B619" s="43" t="s">
        <v>846</v>
      </c>
    </row>
    <row r="620" spans="2:13" s="43" customFormat="1" ht="15.95" customHeight="1" x14ac:dyDescent="0.25">
      <c r="B620" s="43" t="s">
        <v>847</v>
      </c>
    </row>
    <row r="621" spans="2:13" s="43" customFormat="1" ht="15.95" customHeight="1" x14ac:dyDescent="0.25">
      <c r="B621" s="43" t="s">
        <v>848</v>
      </c>
    </row>
    <row r="622" spans="2:13" s="43" customFormat="1" x14ac:dyDescent="0.25">
      <c r="B622" s="44"/>
      <c r="D622" s="7"/>
      <c r="E622" s="7"/>
      <c r="F622" s="7"/>
      <c r="G622" s="7"/>
      <c r="H622" s="7"/>
    </row>
    <row r="623" spans="2:13" s="43" customFormat="1" ht="24.95" customHeight="1" x14ac:dyDescent="0.25">
      <c r="B623" s="390" t="s">
        <v>892</v>
      </c>
      <c r="K623"/>
      <c r="L623"/>
      <c r="M623"/>
    </row>
    <row r="624" spans="2:13" s="43" customFormat="1" ht="15.95" customHeight="1" x14ac:dyDescent="0.25">
      <c r="B624" s="376" t="s">
        <v>239</v>
      </c>
      <c r="K624" s="12"/>
      <c r="L624" s="12"/>
      <c r="M624" s="12"/>
    </row>
    <row r="625" spans="2:13" x14ac:dyDescent="0.25">
      <c r="B625" s="480" t="s">
        <v>64</v>
      </c>
      <c r="C625" s="480" t="s">
        <v>121</v>
      </c>
      <c r="D625" s="480" t="s">
        <v>17</v>
      </c>
      <c r="E625" s="482" t="s">
        <v>21</v>
      </c>
      <c r="F625" s="483"/>
      <c r="G625" s="484"/>
      <c r="H625" s="480" t="s">
        <v>90</v>
      </c>
      <c r="I625" s="480" t="s">
        <v>122</v>
      </c>
      <c r="K625" s="12"/>
      <c r="L625" s="12"/>
      <c r="M625" s="12"/>
    </row>
    <row r="626" spans="2:13" x14ac:dyDescent="0.25">
      <c r="B626" s="481"/>
      <c r="C626" s="481"/>
      <c r="D626" s="481"/>
      <c r="E626" s="415" t="s">
        <v>25</v>
      </c>
      <c r="F626" s="415" t="s">
        <v>26</v>
      </c>
      <c r="G626" s="415" t="s">
        <v>99</v>
      </c>
      <c r="H626" s="481"/>
      <c r="I626" s="481"/>
      <c r="K626" s="12"/>
      <c r="L626" s="12"/>
      <c r="M626" s="12"/>
    </row>
    <row r="627" spans="2:13" s="43" customFormat="1" ht="15.95" customHeight="1" x14ac:dyDescent="0.25">
      <c r="B627" s="142">
        <f>'Evolução saldo devedor'!$B$512</f>
        <v>1</v>
      </c>
      <c r="C627" s="179">
        <f>'Evolução saldo devedor'!$C$512</f>
        <v>7076.02</v>
      </c>
      <c r="D627" s="179">
        <f>'Evolução saldo devedor'!$D$512</f>
        <v>331.89250191718025</v>
      </c>
      <c r="E627" s="179">
        <f>'Evolução saldo devedor'!$E$512</f>
        <v>223.60223200000004</v>
      </c>
      <c r="F627" s="179">
        <f>'Evolução saldo devedor'!$F$512</f>
        <v>0</v>
      </c>
      <c r="G627" s="179">
        <f>'Evolução saldo devedor'!$G$512</f>
        <v>223.60223200000004</v>
      </c>
      <c r="H627" s="179">
        <f>'Evolução saldo devedor'!$H$512</f>
        <v>108.29026991718021</v>
      </c>
      <c r="I627" s="179">
        <f>'Evolução saldo devedor'!$I$512</f>
        <v>6967.7297300828204</v>
      </c>
      <c r="K627" s="12"/>
      <c r="L627" s="12"/>
      <c r="M627" s="12"/>
    </row>
    <row r="628" spans="2:13" s="43" customFormat="1" ht="15.95" customHeight="1" x14ac:dyDescent="0.25">
      <c r="B628" s="142">
        <f>'Evolução saldo devedor'!$B$513</f>
        <v>2</v>
      </c>
      <c r="C628" s="179">
        <f>'Evolução saldo devedor'!$C$513</f>
        <v>6967.7297300828204</v>
      </c>
      <c r="D628" s="179">
        <f>'Evolução saldo devedor'!$D$513</f>
        <v>331.89250191718025</v>
      </c>
      <c r="E628" s="179">
        <f>'Evolução saldo devedor'!$E$513</f>
        <v>213.43569161556528</v>
      </c>
      <c r="F628" s="179">
        <f>'Evolução saldo devedor'!$F$513</f>
        <v>6.7445678550518835</v>
      </c>
      <c r="G628" s="179">
        <f>'Evolução saldo devedor'!$G$513</f>
        <v>220.18025947061716</v>
      </c>
      <c r="H628" s="179">
        <f>'Evolução saldo devedor'!$H$513</f>
        <v>111.7122424465631</v>
      </c>
      <c r="I628" s="179">
        <f>'Evolução saldo devedor'!$I$513</f>
        <v>6856.0174876362571</v>
      </c>
      <c r="K628" s="12"/>
      <c r="L628" s="12"/>
      <c r="M628" s="12"/>
    </row>
    <row r="629" spans="2:13" s="43" customFormat="1" ht="15.95" customHeight="1" x14ac:dyDescent="0.25">
      <c r="B629" s="142">
        <f>'Evolução saldo devedor'!$B$514</f>
        <v>3</v>
      </c>
      <c r="C629" s="179">
        <f>'Evolução saldo devedor'!$C$514</f>
        <v>6856.0174876362571</v>
      </c>
      <c r="D629" s="179">
        <f>'Evolução saldo devedor'!$D$514</f>
        <v>331.89250191718025</v>
      </c>
      <c r="E629" s="179">
        <f>'Evolução saldo devedor'!$E$514</f>
        <v>203.58057298001393</v>
      </c>
      <c r="F629" s="179">
        <f>'Evolução saldo devedor'!$F$514</f>
        <v>13.069579629291809</v>
      </c>
      <c r="G629" s="179">
        <f>'Evolução saldo devedor'!$G$514</f>
        <v>216.65015260930574</v>
      </c>
      <c r="H629" s="179">
        <f>'Evolução saldo devedor'!$H$514</f>
        <v>115.24234930787452</v>
      </c>
      <c r="I629" s="179">
        <f>'Evolução saldo devedor'!$I$514</f>
        <v>6740.775138328383</v>
      </c>
      <c r="K629" s="12"/>
      <c r="L629" s="12"/>
      <c r="M629" s="12"/>
    </row>
    <row r="630" spans="2:13" s="43" customFormat="1" ht="15.95" customHeight="1" x14ac:dyDescent="0.25">
      <c r="B630" s="137" t="s">
        <v>307</v>
      </c>
      <c r="C630" s="137" t="s">
        <v>307</v>
      </c>
      <c r="D630" s="137" t="s">
        <v>307</v>
      </c>
      <c r="E630" s="137" t="s">
        <v>307</v>
      </c>
      <c r="F630" s="137" t="s">
        <v>307</v>
      </c>
      <c r="G630" s="137" t="s">
        <v>307</v>
      </c>
      <c r="H630" s="137" t="s">
        <v>307</v>
      </c>
      <c r="I630" s="137" t="s">
        <v>307</v>
      </c>
      <c r="K630" s="12"/>
      <c r="L630" s="12"/>
      <c r="M630" s="12"/>
    </row>
    <row r="631" spans="2:13" s="95" customFormat="1" ht="15.95" customHeight="1" x14ac:dyDescent="0.25">
      <c r="B631" s="137">
        <f ca="1">INDIRECT(ADDRESS((ROW('Evolução saldo devedor'!$B$428)-1),2,,,"Evolução saldo devedor"))</f>
        <v>36</v>
      </c>
      <c r="C631" s="179">
        <f ca="1">INDIRECT(ADDRESS((ROW('Evolução saldo devedor'!$C$548)-1),3,,,"Evolução saldo devedor"))</f>
        <v>321.72596153276282</v>
      </c>
      <c r="D631" s="179">
        <f ca="1">INDIRECT(ADDRESS((ROW('Evolução saldo devedor'!$D$548)-1),4,,,"Evolução saldo devedor"))</f>
        <v>331.89250191718025</v>
      </c>
      <c r="E631" s="179">
        <f ca="1">INDIRECT(ADDRESS((ROW('Evolução saldo devedor'!$E$548)-1),5,,,"Evolução saldo devedor"))</f>
        <v>3.4219725293831988</v>
      </c>
      <c r="F631" s="179">
        <f ca="1">INDIRECT(ADDRESS((ROW('Evolução saldo devedor'!$F$548)-1),6,,,"Evolução saldo devedor"))</f>
        <v>6.7445678550521073</v>
      </c>
      <c r="G631" s="179">
        <f ca="1">INDIRECT(ADDRESS((ROW('Evolução saldo devedor'!$G$548)-1),7,,,"Evolução saldo devedor"))</f>
        <v>10.166540384435306</v>
      </c>
      <c r="H631" s="179">
        <f ca="1">INDIRECT(ADDRESS((ROW('Evolução saldo devedor'!$H$548)-1),8,,,"Evolução saldo devedor"))</f>
        <v>321.72596153274498</v>
      </c>
      <c r="I631" s="179">
        <f ca="1">INDIRECT(ADDRESS((ROW('Evolução saldo devedor'!$I$548)-1),9,,,"Evolução saldo devedor"))</f>
        <v>1.7848833522293717E-11</v>
      </c>
      <c r="K631" s="12"/>
      <c r="L631" s="12"/>
      <c r="M631" s="12"/>
    </row>
    <row r="632" spans="2:13" s="95" customFormat="1" ht="15.95" customHeight="1" x14ac:dyDescent="0.25">
      <c r="B632" s="292"/>
      <c r="C632" s="293" t="s">
        <v>123</v>
      </c>
      <c r="D632" s="154">
        <f ca="1">'Evolução saldo devedor'!$D$548</f>
        <v>11948.130069018489</v>
      </c>
      <c r="E632" s="154">
        <f ca="1">'Evolução saldo devedor'!$E$548</f>
        <v>3401.1725149815093</v>
      </c>
      <c r="F632" s="154">
        <f ca="1">'Evolução saldo devedor'!$F$548</f>
        <v>1470.9375540369963</v>
      </c>
      <c r="G632" s="154">
        <f ca="1">'Evolução saldo devedor'!$G$548</f>
        <v>4872.1100690185067</v>
      </c>
      <c r="H632" s="154">
        <f ca="1">'Evolução saldo devedor'!$H$548</f>
        <v>7076.0199999999822</v>
      </c>
      <c r="I632" s="321"/>
      <c r="K632" s="12"/>
      <c r="L632" s="12"/>
      <c r="M632" s="12"/>
    </row>
    <row r="633" spans="2:13" s="43" customFormat="1" ht="15.95" customHeight="1" x14ac:dyDescent="0.25"/>
    <row r="634" spans="2:13" s="43" customFormat="1" ht="15.95" customHeight="1" x14ac:dyDescent="0.25"/>
    <row r="635" spans="2:13" s="43" customFormat="1" ht="15.95" customHeight="1" x14ac:dyDescent="0.25"/>
    <row r="636" spans="2:13" s="43" customFormat="1" ht="15.95" customHeight="1" x14ac:dyDescent="0.25"/>
    <row r="637" spans="2:13" s="43" customFormat="1" ht="15.95" customHeight="1" x14ac:dyDescent="0.25"/>
  </sheetData>
  <sheetProtection password="C6BE" sheet="1" objects="1" scenarios="1" formatColumns="0" insertRows="0" deleteRows="0"/>
  <mergeCells count="113">
    <mergeCell ref="I625:I626"/>
    <mergeCell ref="B601:B602"/>
    <mergeCell ref="C601:C602"/>
    <mergeCell ref="D601:D602"/>
    <mergeCell ref="E601:G601"/>
    <mergeCell ref="H601:H602"/>
    <mergeCell ref="I601:I602"/>
    <mergeCell ref="B625:B626"/>
    <mergeCell ref="C625:C626"/>
    <mergeCell ref="D625:D626"/>
    <mergeCell ref="E625:G625"/>
    <mergeCell ref="H625:H626"/>
    <mergeCell ref="B510:B511"/>
    <mergeCell ref="H510:H511"/>
    <mergeCell ref="D68:F68"/>
    <mergeCell ref="D111:F111"/>
    <mergeCell ref="D195:F195"/>
    <mergeCell ref="D238:F238"/>
    <mergeCell ref="D110:F110"/>
    <mergeCell ref="D237:F237"/>
    <mergeCell ref="B319:B321"/>
    <mergeCell ref="C319:F319"/>
    <mergeCell ref="G319:J319"/>
    <mergeCell ref="C320:F320"/>
    <mergeCell ref="G320:J320"/>
    <mergeCell ref="B390:B391"/>
    <mergeCell ref="C390:C391"/>
    <mergeCell ref="D390:D391"/>
    <mergeCell ref="E390:G390"/>
    <mergeCell ref="C441:C442"/>
    <mergeCell ref="D441:F441"/>
    <mergeCell ref="G441:G442"/>
    <mergeCell ref="E277:E278"/>
    <mergeCell ref="E284:E285"/>
    <mergeCell ref="D385:H385"/>
    <mergeCell ref="D386:D387"/>
    <mergeCell ref="C561:C562"/>
    <mergeCell ref="G561:G562"/>
    <mergeCell ref="D561:F561"/>
    <mergeCell ref="D550:H550"/>
    <mergeCell ref="D549:H549"/>
    <mergeCell ref="E551:G551"/>
    <mergeCell ref="D551:D552"/>
    <mergeCell ref="H551:H552"/>
    <mergeCell ref="E510:G510"/>
    <mergeCell ref="D510:D511"/>
    <mergeCell ref="E386:G386"/>
    <mergeCell ref="H386:H387"/>
    <mergeCell ref="F366:F367"/>
    <mergeCell ref="G366:K367"/>
    <mergeCell ref="F363:F364"/>
    <mergeCell ref="F361:F362"/>
    <mergeCell ref="F359:F360"/>
    <mergeCell ref="G363:K364"/>
    <mergeCell ref="G361:K362"/>
    <mergeCell ref="G359:K360"/>
    <mergeCell ref="I390:I391"/>
    <mergeCell ref="D429:H429"/>
    <mergeCell ref="D430:H430"/>
    <mergeCell ref="D431:D432"/>
    <mergeCell ref="E431:G431"/>
    <mergeCell ref="H390:H391"/>
    <mergeCell ref="H431:H432"/>
    <mergeCell ref="N472:O472"/>
    <mergeCell ref="K510:M511"/>
    <mergeCell ref="I510:I511"/>
    <mergeCell ref="E506:G506"/>
    <mergeCell ref="C488:F488"/>
    <mergeCell ref="G472:H472"/>
    <mergeCell ref="J472:K472"/>
    <mergeCell ref="D506:D507"/>
    <mergeCell ref="H506:H507"/>
    <mergeCell ref="C482:F482"/>
    <mergeCell ref="D505:H505"/>
    <mergeCell ref="C480:F481"/>
    <mergeCell ref="C479:F479"/>
    <mergeCell ref="C489:F490"/>
    <mergeCell ref="C491:F491"/>
    <mergeCell ref="C510:C511"/>
    <mergeCell ref="B462:B465"/>
    <mergeCell ref="C462:F463"/>
    <mergeCell ref="N463:P463"/>
    <mergeCell ref="C464:C465"/>
    <mergeCell ref="D464:D465"/>
    <mergeCell ref="E464:E465"/>
    <mergeCell ref="F464:F465"/>
    <mergeCell ref="G464:G465"/>
    <mergeCell ref="H464:H465"/>
    <mergeCell ref="I464:I465"/>
    <mergeCell ref="G463:I463"/>
    <mergeCell ref="J463:L463"/>
    <mergeCell ref="J464:J465"/>
    <mergeCell ref="K464:K465"/>
    <mergeCell ref="L464:L465"/>
    <mergeCell ref="G462:P462"/>
    <mergeCell ref="D175:F175"/>
    <mergeCell ref="D176:F176"/>
    <mergeCell ref="B359:B360"/>
    <mergeCell ref="C359:C360"/>
    <mergeCell ref="D359:D360"/>
    <mergeCell ref="E359:E360"/>
    <mergeCell ref="B366:B367"/>
    <mergeCell ref="B363:B364"/>
    <mergeCell ref="B361:B362"/>
    <mergeCell ref="C366:C367"/>
    <mergeCell ref="D366:D367"/>
    <mergeCell ref="E366:E367"/>
    <mergeCell ref="C363:C364"/>
    <mergeCell ref="D363:D364"/>
    <mergeCell ref="E363:E364"/>
    <mergeCell ref="C361:C362"/>
    <mergeCell ref="D361:D362"/>
    <mergeCell ref="E361:E362"/>
  </mergeCells>
  <conditionalFormatting sqref="D110:F110">
    <cfRule type="cellIs" dxfId="7" priority="11" operator="greaterThan">
      <formula>" "</formula>
    </cfRule>
  </conditionalFormatting>
  <conditionalFormatting sqref="D237:F237">
    <cfRule type="cellIs" dxfId="6" priority="10" operator="greaterThan">
      <formula>" "</formula>
    </cfRule>
  </conditionalFormatting>
  <conditionalFormatting sqref="D549:H549">
    <cfRule type="cellIs" dxfId="5" priority="5" operator="greaterThan">
      <formula>" "</formula>
    </cfRule>
    <cfRule type="cellIs" dxfId="4" priority="6" operator="greaterThan">
      <formula>" "</formula>
    </cfRule>
    <cfRule type="cellIs" dxfId="3" priority="7" operator="greaterThan">
      <formula>" "</formula>
    </cfRule>
  </conditionalFormatting>
  <conditionalFormatting sqref="D429:H429">
    <cfRule type="cellIs" dxfId="2" priority="2" operator="greaterThan">
      <formula>" "</formula>
    </cfRule>
    <cfRule type="cellIs" dxfId="1" priority="3" operator="greaterThan">
      <formula>" "</formula>
    </cfRule>
    <cfRule type="cellIs" dxfId="0" priority="4" operator="greaterThan">
      <formula>" "</formula>
    </cfRule>
  </conditionalFormatting>
  <hyperlinks>
    <hyperlink ref="C3" location="Cel_5.1" display="5.1) Uma lenda urbana"/>
    <hyperlink ref="C4" location="Cel_5.2" display="5.2) Tabela 16 - A lógica de distribuição de juros"/>
    <hyperlink ref="C5" location="Cel_5.3" display="5.3) Tabela 17 - distribuição por valores constantes"/>
    <hyperlink ref="C6" location="Cel_5.4" display="5.4) Processo de formação dos juros INCONSISTENTE com processo de pagamento dos juros"/>
    <hyperlink ref="C7" location="Cel_5.5" display="5.5) Evolução do saldo devedor conforme pagamento das amortizações"/>
    <hyperlink ref="C8" location="Cel_5.5.1" display="5.5.1) Os conceitos de regime de caixa e regime de competência"/>
    <hyperlink ref="C9" location="Cel_5.5.2" display="5.5.2) Relembrando o fluxo de caixa projetado e o fluxo de caixa descontado do contrato"/>
    <hyperlink ref="C10" location="Cel_5.5.3" display="5.5.3) Tabela 19 - amortização pelos valores efetivamente pagos pelo mutuário"/>
    <hyperlink ref="C11" location="Cel_5.6" display="5.6) A apropriação contábil da receita de juros por regime de competência"/>
    <hyperlink ref="C12" location="Cel_5.6.1" display="5.6.1) Relembrando a identificação mês a mês dos juros lineares + juros sobre juros"/>
    <hyperlink ref="C13" location="Cel_5.6.2" display="5.6.2) Tabela 20 - Apropriação contábil da receita de juros"/>
    <hyperlink ref="C14" location="Cel_5.7" display="5.7) Resumo da diferença entre amortização de saldo devedor e apropriação contábil da receita de juros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60</vt:i4>
      </vt:variant>
    </vt:vector>
  </HeadingPairs>
  <TitlesOfParts>
    <vt:vector size="65" baseType="lpstr">
      <vt:lpstr>Apresentação</vt:lpstr>
      <vt:lpstr>Resumo da análise</vt:lpstr>
      <vt:lpstr>Os juros sobre juros</vt:lpstr>
      <vt:lpstr>O duodécuplo</vt:lpstr>
      <vt:lpstr>Evolução saldo devedor</vt:lpstr>
      <vt:lpstr>Cel_2.1</vt:lpstr>
      <vt:lpstr>Cel_2.1.1</vt:lpstr>
      <vt:lpstr>Cel_2.1.2</vt:lpstr>
      <vt:lpstr>Cel_2.1.3</vt:lpstr>
      <vt:lpstr>Cel_2.1.4</vt:lpstr>
      <vt:lpstr>Cel_2.1.5</vt:lpstr>
      <vt:lpstr>Cel_2.1.6</vt:lpstr>
      <vt:lpstr>Cel_2.2</vt:lpstr>
      <vt:lpstr>Cel_2.2.1</vt:lpstr>
      <vt:lpstr>Cel_2.2.2</vt:lpstr>
      <vt:lpstr>Cel_2.3</vt:lpstr>
      <vt:lpstr>Cel_2.3.1</vt:lpstr>
      <vt:lpstr>Cel_2.3.2</vt:lpstr>
      <vt:lpstr>Cel_2.3.3</vt:lpstr>
      <vt:lpstr>Cel_2.4</vt:lpstr>
      <vt:lpstr>Cel_3.1</vt:lpstr>
      <vt:lpstr>Cel_3.10</vt:lpstr>
      <vt:lpstr>Cel_3.11</vt:lpstr>
      <vt:lpstr>Cel_3.12</vt:lpstr>
      <vt:lpstr>Cel_3.2</vt:lpstr>
      <vt:lpstr>Cel_3.3</vt:lpstr>
      <vt:lpstr>Cel_3.3.1</vt:lpstr>
      <vt:lpstr>Cel_3.3.2</vt:lpstr>
      <vt:lpstr>Cel_3.4</vt:lpstr>
      <vt:lpstr>Cel_3.5</vt:lpstr>
      <vt:lpstr>Cel_3.6</vt:lpstr>
      <vt:lpstr>Cel_3.7</vt:lpstr>
      <vt:lpstr>Cel_3.8</vt:lpstr>
      <vt:lpstr>Cel_3.9</vt:lpstr>
      <vt:lpstr>Cel_4.1</vt:lpstr>
      <vt:lpstr>Cel_4.2</vt:lpstr>
      <vt:lpstr>Cel_4.3</vt:lpstr>
      <vt:lpstr>Cel_4.3.1</vt:lpstr>
      <vt:lpstr>Cel_4.3.2</vt:lpstr>
      <vt:lpstr>Cel_4.3.3</vt:lpstr>
      <vt:lpstr>Cel_4.3.4</vt:lpstr>
      <vt:lpstr>Cel_4.3.5</vt:lpstr>
      <vt:lpstr>Cel_4.4</vt:lpstr>
      <vt:lpstr>Cel_4.5</vt:lpstr>
      <vt:lpstr>Cel_5.1</vt:lpstr>
      <vt:lpstr>Cel_5.2</vt:lpstr>
      <vt:lpstr>Cel_5.3</vt:lpstr>
      <vt:lpstr>Cel_5.4</vt:lpstr>
      <vt:lpstr>Cel_5.5</vt:lpstr>
      <vt:lpstr>Cel_5.5.1</vt:lpstr>
      <vt:lpstr>Cel_5.5.2</vt:lpstr>
      <vt:lpstr>Cel_5.5.3</vt:lpstr>
      <vt:lpstr>Cel_5.6</vt:lpstr>
      <vt:lpstr>Cel_5.6.1</vt:lpstr>
      <vt:lpstr>Cel_5.6.2</vt:lpstr>
      <vt:lpstr>Cel_5.7</vt:lpstr>
      <vt:lpstr>Erro_Tab_06</vt:lpstr>
      <vt:lpstr>Erro_Tab_07</vt:lpstr>
      <vt:lpstr>Erro_Tab_09</vt:lpstr>
      <vt:lpstr>Erro_Tab_16</vt:lpstr>
      <vt:lpstr>Erro_Tab_17</vt:lpstr>
      <vt:lpstr>Erro_Tab_19</vt:lpstr>
      <vt:lpstr>Erro_Tab_20</vt:lpstr>
      <vt:lpstr>Tabela_06</vt:lpstr>
      <vt:lpstr>Tabela_07_prestação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2022-10-21T22:57:40Z</dcterms:modified>
</cp:coreProperties>
</file>